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att\Temp\"/>
    </mc:Choice>
  </mc:AlternateContent>
  <xr:revisionPtr revIDLastSave="0" documentId="13_ncr:1_{7352C117-6523-4727-86E4-5FC0341DC81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" sheetId="1" r:id="rId1"/>
    <sheet name="Data" sheetId="2" r:id="rId2"/>
  </sheets>
  <definedNames>
    <definedName name="_xlnm.Print_Area" localSheetId="0">Chart!$A$1:$P$45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B22" i="2"/>
  <c r="B16" i="2"/>
  <c r="B10" i="2"/>
  <c r="B4" i="2"/>
  <c r="M17" i="2" l="1"/>
  <c r="M18" i="2"/>
  <c r="M19" i="2"/>
  <c r="M20" i="2"/>
  <c r="M16" i="2"/>
  <c r="L40" i="1" l="1"/>
  <c r="L37" i="1"/>
  <c r="L39" i="1"/>
  <c r="L36" i="1"/>
  <c r="J37" i="1"/>
  <c r="J39" i="1"/>
  <c r="J40" i="1"/>
  <c r="J36" i="1"/>
  <c r="H37" i="1"/>
  <c r="H39" i="1"/>
  <c r="H40" i="1"/>
  <c r="H36" i="1"/>
  <c r="F37" i="1"/>
  <c r="F39" i="1"/>
  <c r="F40" i="1"/>
  <c r="F36" i="1"/>
  <c r="D37" i="1"/>
  <c r="D39" i="1"/>
  <c r="D40" i="1"/>
  <c r="D36" i="1"/>
  <c r="B30" i="2"/>
  <c r="L38" i="1" s="1"/>
  <c r="B24" i="2"/>
  <c r="J38" i="1" s="1"/>
  <c r="B18" i="2"/>
  <c r="H38" i="1" s="1"/>
  <c r="B12" i="2"/>
  <c r="F38" i="1" s="1"/>
  <c r="B6" i="2"/>
  <c r="C6" i="2" s="1"/>
  <c r="D38" i="1" l="1"/>
  <c r="C7" i="2"/>
  <c r="C4" i="2"/>
  <c r="C8" i="2"/>
  <c r="C5" i="2"/>
  <c r="O4" i="2"/>
  <c r="P4" i="2" s="1"/>
  <c r="Q4" i="2" s="1"/>
  <c r="C9" i="2" l="1"/>
  <c r="O5" i="2"/>
  <c r="C12" i="2" l="1"/>
  <c r="C13" i="2"/>
  <c r="C10" i="2"/>
  <c r="C11" i="2"/>
  <c r="C14" i="2"/>
  <c r="P5" i="2"/>
  <c r="Q5" i="2" s="1"/>
  <c r="O6" i="2"/>
  <c r="C15" i="2" l="1"/>
  <c r="C17" i="2" s="1"/>
  <c r="O7" i="2"/>
  <c r="P6" i="2"/>
  <c r="Q6" i="2" s="1"/>
  <c r="C16" i="2" l="1"/>
  <c r="C20" i="2"/>
  <c r="C18" i="2"/>
  <c r="C19" i="2"/>
  <c r="O8" i="2"/>
  <c r="P7" i="2"/>
  <c r="Q7" i="2" s="1"/>
  <c r="C21" i="2" l="1"/>
  <c r="C26" i="2" s="1"/>
  <c r="P8" i="2"/>
  <c r="Q8" i="2" s="1"/>
  <c r="C25" i="2" l="1"/>
  <c r="C23" i="2"/>
  <c r="C22" i="2"/>
  <c r="C24" i="2"/>
  <c r="C27" i="2" l="1"/>
  <c r="C28" i="2" s="1"/>
  <c r="C30" i="2"/>
  <c r="C32" i="2"/>
  <c r="C29" i="2" l="1"/>
  <c r="C31" i="2"/>
  <c r="C33" i="2" s="1"/>
  <c r="O37" i="1"/>
  <c r="L4" i="2"/>
  <c r="D43" i="1" s="1"/>
  <c r="O35" i="1" l="1"/>
  <c r="L5" i="2"/>
  <c r="F43" i="1" s="1"/>
  <c r="H3" i="2"/>
  <c r="H33" i="2"/>
  <c r="G3" i="2"/>
  <c r="F3" i="2" s="1"/>
  <c r="E3" i="2" l="1"/>
  <c r="H4" i="2" l="1"/>
  <c r="G4" i="2"/>
  <c r="G5" i="2" l="1"/>
  <c r="E5" i="2" s="1"/>
  <c r="H5" i="2"/>
  <c r="E4" i="2"/>
  <c r="F4" i="2"/>
  <c r="H6" i="2" l="1"/>
  <c r="G6" i="2"/>
  <c r="E6" i="2" s="1"/>
  <c r="F5" i="2"/>
  <c r="F6" i="2" l="1"/>
  <c r="G7" i="2"/>
  <c r="E7" i="2" s="1"/>
  <c r="H7" i="2"/>
  <c r="L6" i="2"/>
  <c r="H43" i="1" s="1"/>
  <c r="F7" i="2" l="1"/>
  <c r="G8" i="2"/>
  <c r="E8" i="2" s="1"/>
  <c r="H8" i="2"/>
  <c r="L7" i="2"/>
  <c r="L8" i="2" l="1"/>
  <c r="L43" i="1" s="1"/>
  <c r="J43" i="1"/>
  <c r="F8" i="2"/>
  <c r="H15" i="2"/>
  <c r="M8" i="2"/>
  <c r="O43" i="1" s="1"/>
  <c r="G16" i="2" l="1"/>
  <c r="H16" i="2"/>
  <c r="M7" i="2"/>
  <c r="F27" i="2" s="1"/>
  <c r="F33" i="2"/>
  <c r="E33" i="2"/>
  <c r="H27" i="2"/>
  <c r="G28" i="2" l="1"/>
  <c r="H28" i="2"/>
  <c r="H17" i="2"/>
  <c r="G17" i="2"/>
  <c r="F16" i="2"/>
  <c r="E16" i="2"/>
  <c r="H21" i="2"/>
  <c r="M6" i="2"/>
  <c r="E21" i="2" s="1"/>
  <c r="E27" i="2"/>
  <c r="F17" i="2" l="1"/>
  <c r="E17" i="2"/>
  <c r="G18" i="2"/>
  <c r="E18" i="2" s="1"/>
  <c r="H18" i="2"/>
  <c r="H29" i="2"/>
  <c r="G29" i="2"/>
  <c r="E29" i="2" s="1"/>
  <c r="G22" i="2"/>
  <c r="H22" i="2"/>
  <c r="F28" i="2"/>
  <c r="E28" i="2"/>
  <c r="F21" i="2"/>
  <c r="O39" i="1"/>
  <c r="O40" i="1"/>
  <c r="F29" i="2" l="1"/>
  <c r="F18" i="2"/>
  <c r="H23" i="2"/>
  <c r="G23" i="2"/>
  <c r="E23" i="2" s="1"/>
  <c r="G30" i="2"/>
  <c r="E30" i="2" s="1"/>
  <c r="H30" i="2"/>
  <c r="F22" i="2"/>
  <c r="E22" i="2"/>
  <c r="G19" i="2"/>
  <c r="E19" i="2" s="1"/>
  <c r="H19" i="2"/>
  <c r="O38" i="1"/>
  <c r="G9" i="2"/>
  <c r="M4" i="2"/>
  <c r="F9" i="2" s="1"/>
  <c r="O36" i="1"/>
  <c r="M5" i="2"/>
  <c r="H9" i="2"/>
  <c r="G20" i="2" l="1"/>
  <c r="E20" i="2" s="1"/>
  <c r="H20" i="2"/>
  <c r="F23" i="2"/>
  <c r="G31" i="2"/>
  <c r="E31" i="2" s="1"/>
  <c r="H31" i="2"/>
  <c r="F19" i="2"/>
  <c r="F30" i="2"/>
  <c r="G24" i="2"/>
  <c r="E24" i="2" s="1"/>
  <c r="H24" i="2"/>
  <c r="G33" i="2"/>
  <c r="O41" i="1"/>
  <c r="F15" i="2"/>
  <c r="E15" i="2"/>
  <c r="E9" i="2"/>
  <c r="G10" i="2"/>
  <c r="E10" i="2" s="1"/>
  <c r="H10" i="2"/>
  <c r="F31" i="2" l="1"/>
  <c r="F24" i="2"/>
  <c r="G32" i="2"/>
  <c r="E32" i="2" s="1"/>
  <c r="H32" i="2"/>
  <c r="G25" i="2"/>
  <c r="E25" i="2" s="1"/>
  <c r="H25" i="2"/>
  <c r="F20" i="2"/>
  <c r="G11" i="2"/>
  <c r="E11" i="2" s="1"/>
  <c r="H11" i="2"/>
  <c r="G27" i="2"/>
  <c r="F10" i="2"/>
  <c r="F25" i="2" l="1"/>
  <c r="F32" i="2"/>
  <c r="G26" i="2"/>
  <c r="E26" i="2" s="1"/>
  <c r="H26" i="2"/>
  <c r="H12" i="2"/>
  <c r="G12" i="2"/>
  <c r="E12" i="2" s="1"/>
  <c r="F11" i="2"/>
  <c r="F26" i="2" l="1"/>
  <c r="F12" i="2"/>
  <c r="H13" i="2"/>
  <c r="G13" i="2"/>
  <c r="E13" i="2" s="1"/>
  <c r="G15" i="2"/>
  <c r="F13" i="2" l="1"/>
  <c r="H14" i="2"/>
  <c r="G14" i="2"/>
  <c r="E14" i="2" s="1"/>
  <c r="F14" i="2" l="1"/>
  <c r="G21" i="2"/>
</calcChain>
</file>

<file path=xl/sharedStrings.xml><?xml version="1.0" encoding="utf-8"?>
<sst xmlns="http://schemas.openxmlformats.org/spreadsheetml/2006/main" count="81" uniqueCount="46">
  <si>
    <t>Item</t>
  </si>
  <si>
    <t>Value</t>
  </si>
  <si>
    <t>Padding</t>
  </si>
  <si>
    <t>Plot</t>
  </si>
  <si>
    <t>Crossover</t>
  </si>
  <si>
    <t>Datum</t>
  </si>
  <si>
    <t>Equity 12/31/2015</t>
  </si>
  <si>
    <t>Equity 12/31/2014</t>
  </si>
  <si>
    <t>Income</t>
  </si>
  <si>
    <t>Living</t>
  </si>
  <si>
    <t>Charitable</t>
  </si>
  <si>
    <t>Inflation</t>
  </si>
  <si>
    <t>Compounded</t>
  </si>
  <si>
    <t>Equity 12/31/2016</t>
  </si>
  <si>
    <t>http://www.usinflationcalculator.com/inflation/historical-inflation-rates/</t>
  </si>
  <si>
    <t>2016</t>
  </si>
  <si>
    <t>2015</t>
  </si>
  <si>
    <t>Equity 12/31/2017</t>
  </si>
  <si>
    <t>2017</t>
  </si>
  <si>
    <t>Equity 12/31/2018</t>
  </si>
  <si>
    <t>Fees</t>
  </si>
  <si>
    <t>Tax</t>
  </si>
  <si>
    <t>2018</t>
  </si>
  <si>
    <t>Compounded Inflation</t>
  </si>
  <si>
    <t>Percentage of Annual Beginning Equity</t>
  </si>
  <si>
    <t>Beginning Equity</t>
  </si>
  <si>
    <t>Ending Equity</t>
  </si>
  <si>
    <t>Total $ in Millions</t>
  </si>
  <si>
    <t>Equity 12/31/2019</t>
  </si>
  <si>
    <t>2019</t>
  </si>
  <si>
    <t>Annual</t>
  </si>
  <si>
    <t>Year</t>
  </si>
  <si>
    <t>Dec 2015</t>
  </si>
  <si>
    <t>Dec 2016</t>
  </si>
  <si>
    <t>Dec 2017</t>
  </si>
  <si>
    <t>Dec 2018</t>
  </si>
  <si>
    <t>Dec 2019</t>
  </si>
  <si>
    <t>Check: BLS Calculator</t>
  </si>
  <si>
    <t>https://www.bls.gov/data/inflation_calculator.htm</t>
  </si>
  <si>
    <t>$1 in Dec 2014 is same as:</t>
  </si>
  <si>
    <t>% of Equity</t>
  </si>
  <si>
    <t>Date</t>
  </si>
  <si>
    <t>S&amp;P 500</t>
  </si>
  <si>
    <t>Check:  Calc'd Value of $1:</t>
  </si>
  <si>
    <t>Inflation $</t>
  </si>
  <si>
    <t>for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</si>
</sst>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0.00000%"/>
    <numFmt numFmtId="170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/>
    <xf numFmtId="164" fontId="0" fillId="0" borderId="0" xfId="0" applyNumberFormat="1" applyFill="1"/>
    <xf numFmtId="0" fontId="0" fillId="0" borderId="0" xfId="0"/>
    <xf numFmtId="0" fontId="0" fillId="0" borderId="0" xfId="0" applyFill="1"/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3" borderId="0" xfId="0" applyNumberFormat="1" applyFill="1"/>
    <xf numFmtId="0" fontId="4" fillId="0" borderId="0" xfId="0" applyFon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8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0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/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Fill="1" applyBorder="1"/>
    <xf numFmtId="0" fontId="7" fillId="0" borderId="0" xfId="0" applyFont="1" applyBorder="1"/>
    <xf numFmtId="0" fontId="9" fillId="0" borderId="0" xfId="0" quotePrefix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7" fillId="4" borderId="3" xfId="0" applyFont="1" applyFill="1" applyBorder="1"/>
    <xf numFmtId="0" fontId="7" fillId="8" borderId="3" xfId="0" applyFont="1" applyFill="1" applyBorder="1"/>
    <xf numFmtId="0" fontId="7" fillId="7" borderId="3" xfId="0" applyFont="1" applyFill="1" applyBorder="1"/>
    <xf numFmtId="0" fontId="7" fillId="5" borderId="3" xfId="0" applyFont="1" applyFill="1" applyBorder="1"/>
    <xf numFmtId="0" fontId="7" fillId="6" borderId="3" xfId="0" applyFont="1" applyFill="1" applyBorder="1"/>
    <xf numFmtId="0" fontId="7" fillId="9" borderId="3" xfId="0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quotePrefix="1" applyNumberFormat="1" applyAlignment="1">
      <alignment horizontal="center"/>
    </xf>
    <xf numFmtId="0" fontId="5" fillId="0" borderId="2" xfId="0" applyFont="1" applyBorder="1" applyAlignment="1">
      <alignment horizontal="center"/>
    </xf>
    <xf numFmtId="164" fontId="11" fillId="0" borderId="0" xfId="0" applyNumberFormat="1" applyFont="1" applyFill="1" applyBorder="1"/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0" fillId="10" borderId="0" xfId="10" applyNumberFormat="1" applyFont="1" applyFill="1"/>
    <xf numFmtId="164" fontId="0" fillId="10" borderId="0" xfId="0" applyNumberFormat="1" applyFill="1" applyBorder="1"/>
    <xf numFmtId="0" fontId="0" fillId="3" borderId="0" xfId="0" applyFill="1"/>
    <xf numFmtId="164" fontId="0" fillId="3" borderId="0" xfId="0" applyNumberFormat="1" applyFill="1" applyBorder="1"/>
    <xf numFmtId="0" fontId="11" fillId="3" borderId="0" xfId="0" applyFont="1" applyFill="1"/>
    <xf numFmtId="164" fontId="11" fillId="3" borderId="0" xfId="0" applyNumberFormat="1" applyFont="1" applyFill="1" applyBorder="1"/>
    <xf numFmtId="49" fontId="9" fillId="0" borderId="2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0" fontId="2" fillId="0" borderId="0" xfId="9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0" fillId="0" borderId="0" xfId="9" applyNumberFormat="1" applyFont="1" applyAlignment="1">
      <alignment horizontal="center"/>
    </xf>
    <xf numFmtId="166" fontId="0" fillId="0" borderId="0" xfId="10" applyNumberFormat="1" applyFont="1" applyAlignment="1">
      <alignment horizontal="center"/>
    </xf>
    <xf numFmtId="0" fontId="0" fillId="0" borderId="0" xfId="0" applyFont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10" fontId="11" fillId="10" borderId="0" xfId="10" applyNumberFormat="1" applyFont="1" applyFill="1"/>
    <xf numFmtId="0" fontId="11" fillId="0" borderId="0" xfId="0" applyFont="1" applyFill="1"/>
    <xf numFmtId="0" fontId="2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1">
    <cellStyle name="Comma 2" xfId="2" xr:uid="{00000000-0005-0000-0000-000000000000}"/>
    <cellStyle name="Comma 2 2" xfId="3" xr:uid="{00000000-0005-0000-0000-000001000000}"/>
    <cellStyle name="Currency" xfId="9" builtinId="4"/>
    <cellStyle name="Currency 2" xfId="4" xr:uid="{00000000-0005-0000-0000-000002000000}"/>
    <cellStyle name="Currency 2 2" xfId="5" xr:uid="{00000000-0005-0000-0000-000003000000}"/>
    <cellStyle name="Hyperlink" xfId="8" builtinId="8"/>
    <cellStyle name="Normal" xfId="0" builtinId="0"/>
    <cellStyle name="Normal 2" xfId="1" xr:uid="{00000000-0005-0000-0000-000006000000}"/>
    <cellStyle name="Normal 3" xfId="6" xr:uid="{00000000-0005-0000-0000-000007000000}"/>
    <cellStyle name="Normal 3 2" xfId="7" xr:uid="{00000000-0005-0000-0000-000008000000}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76916225084851E-2"/>
          <c:y val="0.13548806708758929"/>
          <c:w val="0.87759168738072579"/>
          <c:h val="0.677807549127992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BFE9-40CB-9A27-1BCE4F1CD91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0-753C-4DEA-91E8-1AF7EE1E97A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B68A-4373-BF06-8DECBD319D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6730-406E-BF3A-C2068E2F9A9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0915-4C94-A7E8-5B22FC94E97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2-753C-4DEA-91E8-1AF7EE1E97A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6730-406E-BF3A-C2068E2F9A96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3-753C-4DEA-91E8-1AF7EE1E97A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BFE9-40CB-9A27-1BCE4F1CD91F}"/>
              </c:ext>
            </c:extLst>
          </c:dPt>
          <c:dPt>
            <c:idx val="18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66-45CB-4147-9911-9A4A21301ACF}"/>
              </c:ext>
            </c:extLst>
          </c:dPt>
          <c:dPt>
            <c:idx val="2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2-BFE9-40CB-9A27-1BCE4F1CD91F}"/>
              </c:ext>
            </c:extLst>
          </c:dPt>
          <c:dPt>
            <c:idx val="24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BFE9-40CB-9A27-1BCE4F1CD91F}"/>
              </c:ext>
            </c:extLst>
          </c:dPt>
          <c:dPt>
            <c:idx val="26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4-753C-4DEA-91E8-1AF7EE1E97AA}"/>
              </c:ext>
            </c:extLst>
          </c:dPt>
          <c:dPt>
            <c:idx val="3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5-753C-4DEA-91E8-1AF7EE1E97AA}"/>
              </c:ext>
            </c:extLst>
          </c:dPt>
          <c:dPt>
            <c:idx val="3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1-4EC3-428B-A091-058377C1388D}"/>
              </c:ext>
            </c:extLst>
          </c:dPt>
          <c:dPt>
            <c:idx val="39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C-3DF5-4EC2-8F0D-25F8362D25FB}"/>
              </c:ext>
            </c:extLst>
          </c:dPt>
          <c:cat>
            <c:strRef>
              <c:f>Data!$A$3:$A$33</c:f>
              <c:strCache>
                <c:ptCount val="31"/>
                <c:pt idx="0">
                  <c:v>Equity 12/31/2014</c:v>
                </c:pt>
                <c:pt idx="1">
                  <c:v>Income</c:v>
                </c:pt>
                <c:pt idx="2">
                  <c:v>Fees</c:v>
                </c:pt>
                <c:pt idx="3">
                  <c:v>Tax</c:v>
                </c:pt>
                <c:pt idx="4">
                  <c:v>Living</c:v>
                </c:pt>
                <c:pt idx="5">
                  <c:v>Charitable</c:v>
                </c:pt>
                <c:pt idx="6">
                  <c:v>Equity 12/31/2015</c:v>
                </c:pt>
                <c:pt idx="7">
                  <c:v>Income</c:v>
                </c:pt>
                <c:pt idx="8">
                  <c:v>Fees</c:v>
                </c:pt>
                <c:pt idx="9">
                  <c:v>Tax</c:v>
                </c:pt>
                <c:pt idx="10">
                  <c:v>Living</c:v>
                </c:pt>
                <c:pt idx="11">
                  <c:v>Charitable</c:v>
                </c:pt>
                <c:pt idx="12">
                  <c:v>Equity 12/31/2016</c:v>
                </c:pt>
                <c:pt idx="13">
                  <c:v>Income</c:v>
                </c:pt>
                <c:pt idx="14">
                  <c:v>Fees</c:v>
                </c:pt>
                <c:pt idx="15">
                  <c:v>Tax</c:v>
                </c:pt>
                <c:pt idx="16">
                  <c:v>Living</c:v>
                </c:pt>
                <c:pt idx="17">
                  <c:v>Charitable</c:v>
                </c:pt>
                <c:pt idx="18">
                  <c:v>Equity 12/31/2017</c:v>
                </c:pt>
                <c:pt idx="19">
                  <c:v>Income</c:v>
                </c:pt>
                <c:pt idx="20">
                  <c:v>Fees</c:v>
                </c:pt>
                <c:pt idx="21">
                  <c:v>Tax</c:v>
                </c:pt>
                <c:pt idx="22">
                  <c:v>Living</c:v>
                </c:pt>
                <c:pt idx="23">
                  <c:v>Charitable</c:v>
                </c:pt>
                <c:pt idx="24">
                  <c:v>Equity 12/31/2018</c:v>
                </c:pt>
                <c:pt idx="25">
                  <c:v>Income</c:v>
                </c:pt>
                <c:pt idx="26">
                  <c:v>Fees</c:v>
                </c:pt>
                <c:pt idx="27">
                  <c:v>Tax</c:v>
                </c:pt>
                <c:pt idx="28">
                  <c:v>Living</c:v>
                </c:pt>
                <c:pt idx="29">
                  <c:v>Charitable</c:v>
                </c:pt>
                <c:pt idx="30">
                  <c:v>Equity 12/31/2019</c:v>
                </c:pt>
              </c:strCache>
            </c:strRef>
          </c:cat>
          <c:val>
            <c:numRef>
              <c:f>Data!$E$3:$E$33</c:f>
              <c:numCache>
                <c:formatCode>#,##0.0_);\(#,##0.0\)</c:formatCode>
                <c:ptCount val="31"/>
                <c:pt idx="0">
                  <c:v>0</c:v>
                </c:pt>
                <c:pt idx="1">
                  <c:v>99.273398416630243</c:v>
                </c:pt>
                <c:pt idx="2">
                  <c:v>98.273398416630243</c:v>
                </c:pt>
                <c:pt idx="3">
                  <c:v>98.273398416630243</c:v>
                </c:pt>
                <c:pt idx="4">
                  <c:v>95.455048812472683</c:v>
                </c:pt>
                <c:pt idx="5">
                  <c:v>94.455048812472683</c:v>
                </c:pt>
                <c:pt idx="6">
                  <c:v>93.793863470785368</c:v>
                </c:pt>
                <c:pt idx="7">
                  <c:v>94.455048812472683</c:v>
                </c:pt>
                <c:pt idx="8">
                  <c:v>102.51680206274672</c:v>
                </c:pt>
                <c:pt idx="9">
                  <c:v>100.26522612814702</c:v>
                </c:pt>
                <c:pt idx="10">
                  <c:v>97.431574663772835</c:v>
                </c:pt>
                <c:pt idx="11">
                  <c:v>96.487024175648102</c:v>
                </c:pt>
                <c:pt idx="12">
                  <c:v>93.77120390617614</c:v>
                </c:pt>
                <c:pt idx="13">
                  <c:v>96.487024175648102</c:v>
                </c:pt>
                <c:pt idx="14">
                  <c:v>114.25990015450162</c:v>
                </c:pt>
                <c:pt idx="15">
                  <c:v>109.57546359934912</c:v>
                </c:pt>
                <c:pt idx="16">
                  <c:v>106.68085287407968</c:v>
                </c:pt>
                <c:pt idx="17">
                  <c:v>105.71598263232319</c:v>
                </c:pt>
                <c:pt idx="18">
                  <c:v>100.45787189086622</c:v>
                </c:pt>
                <c:pt idx="19">
                  <c:v>99.122202214174607</c:v>
                </c:pt>
                <c:pt idx="20">
                  <c:v>98.065042387851378</c:v>
                </c:pt>
                <c:pt idx="21">
                  <c:v>98.065042387851378</c:v>
                </c:pt>
                <c:pt idx="22">
                  <c:v>96.542008013418823</c:v>
                </c:pt>
                <c:pt idx="23">
                  <c:v>95.484848187095594</c:v>
                </c:pt>
                <c:pt idx="24">
                  <c:v>88.83116694518931</c:v>
                </c:pt>
                <c:pt idx="25">
                  <c:v>95.484848187095594</c:v>
                </c:pt>
                <c:pt idx="26">
                  <c:v>122.10418489703274</c:v>
                </c:pt>
                <c:pt idx="27">
                  <c:v>115.21063859908071</c:v>
                </c:pt>
                <c:pt idx="28">
                  <c:v>112.34609315346785</c:v>
                </c:pt>
                <c:pt idx="29">
                  <c:v>111.39124467159689</c:v>
                </c:pt>
                <c:pt idx="30">
                  <c:v>100.88862958207469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B-4BC2-BB50-3C875B43FDDE}"/>
            </c:ext>
          </c:extLst>
        </c:ser>
        <c:ser>
          <c:idx val="1"/>
          <c:order val="1"/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1B65-4158-96B2-E2EE72A3586D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50EB-4BC2-BB50-3C875B43FDD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0EB-4BC2-BB50-3C875B43FDDE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0EB-4BC2-BB50-3C875B43FDDE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0EB-4BC2-BB50-3C875B43FDD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0EB-4BC2-BB50-3C875B43FDDE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0EB-4BC2-BB50-3C875B43FDDE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50EB-4BC2-BB50-3C875B43FDD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50EB-4BC2-BB50-3C875B43FDDE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1B65-4158-96B2-E2EE72A3586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1B65-4158-96B2-E2EE72A3586D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50EB-4BC2-BB50-3C875B43FDDE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1B65-4158-96B2-E2EE72A3586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B65-4158-96B2-E2EE72A3586D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1B65-4158-96B2-E2EE72A3586D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B65-4158-96B2-E2EE72A3586D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1B65-4158-96B2-E2EE72A3586D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BFE9-40CB-9A27-1BCE4F1CD91F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BFE9-40CB-9A27-1BCE4F1CD91F}"/>
              </c:ext>
            </c:extLst>
          </c:dPt>
          <c:dPt>
            <c:idx val="20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BFE9-40CB-9A27-1BCE4F1CD91F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BFE9-40CB-9A27-1BCE4F1CD91F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BFE9-40CB-9A27-1BCE4F1CD91F}"/>
              </c:ext>
            </c:extLst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BFE9-40CB-9A27-1BCE4F1CD91F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BFE9-40CB-9A27-1BCE4F1CD91F}"/>
              </c:ext>
            </c:extLst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8-753C-4DEA-91E8-1AF7EE1E97AA}"/>
              </c:ext>
            </c:extLst>
          </c:dPt>
          <c:dPt>
            <c:idx val="26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7-753C-4DEA-91E8-1AF7EE1E97AA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A-753C-4DEA-91E8-1AF7EE1E97AA}"/>
              </c:ext>
            </c:extLst>
          </c:dPt>
          <c:dPt>
            <c:idx val="2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1-753C-4DEA-91E8-1AF7EE1E97AA}"/>
              </c:ext>
            </c:extLst>
          </c:dPt>
          <c:dPt>
            <c:idx val="29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9-753C-4DEA-91E8-1AF7EE1E97AA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6-753C-4DEA-91E8-1AF7EE1E97AA}"/>
              </c:ext>
            </c:extLst>
          </c:dPt>
          <c:dPt>
            <c:idx val="3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0-4EC3-428B-A091-058377C1388D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2-4EC3-428B-A091-058377C1388D}"/>
              </c:ext>
            </c:extLst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7-3DF5-4EC2-8F0D-25F8362D25FB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8-3DF5-4EC2-8F0D-25F8362D25FB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9-3DF5-4EC2-8F0D-25F8362D25FB}"/>
              </c:ext>
            </c:extLst>
          </c:dPt>
          <c:dPt>
            <c:idx val="36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A-3DF5-4EC2-8F0D-25F8362D25FB}"/>
              </c:ext>
            </c:extLst>
          </c:dPt>
          <c:dPt>
            <c:idx val="3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B-3DF5-4EC2-8F0D-25F8362D25FB}"/>
              </c:ext>
            </c:extLst>
          </c:dPt>
          <c:dPt>
            <c:idx val="3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E-3DF5-4EC2-8F0D-25F8362D25FB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D-3DF5-4EC2-8F0D-25F8362D25FB}"/>
              </c:ext>
            </c:extLst>
          </c:dPt>
          <c:cat>
            <c:strRef>
              <c:f>Data!$A$3:$A$33</c:f>
              <c:strCache>
                <c:ptCount val="31"/>
                <c:pt idx="0">
                  <c:v>Equity 12/31/2014</c:v>
                </c:pt>
                <c:pt idx="1">
                  <c:v>Income</c:v>
                </c:pt>
                <c:pt idx="2">
                  <c:v>Fees</c:v>
                </c:pt>
                <c:pt idx="3">
                  <c:v>Tax</c:v>
                </c:pt>
                <c:pt idx="4">
                  <c:v>Living</c:v>
                </c:pt>
                <c:pt idx="5">
                  <c:v>Charitable</c:v>
                </c:pt>
                <c:pt idx="6">
                  <c:v>Equity 12/31/2015</c:v>
                </c:pt>
                <c:pt idx="7">
                  <c:v>Income</c:v>
                </c:pt>
                <c:pt idx="8">
                  <c:v>Fees</c:v>
                </c:pt>
                <c:pt idx="9">
                  <c:v>Tax</c:v>
                </c:pt>
                <c:pt idx="10">
                  <c:v>Living</c:v>
                </c:pt>
                <c:pt idx="11">
                  <c:v>Charitable</c:v>
                </c:pt>
                <c:pt idx="12">
                  <c:v>Equity 12/31/2016</c:v>
                </c:pt>
                <c:pt idx="13">
                  <c:v>Income</c:v>
                </c:pt>
                <c:pt idx="14">
                  <c:v>Fees</c:v>
                </c:pt>
                <c:pt idx="15">
                  <c:v>Tax</c:v>
                </c:pt>
                <c:pt idx="16">
                  <c:v>Living</c:v>
                </c:pt>
                <c:pt idx="17">
                  <c:v>Charitable</c:v>
                </c:pt>
                <c:pt idx="18">
                  <c:v>Equity 12/31/2017</c:v>
                </c:pt>
                <c:pt idx="19">
                  <c:v>Income</c:v>
                </c:pt>
                <c:pt idx="20">
                  <c:v>Fees</c:v>
                </c:pt>
                <c:pt idx="21">
                  <c:v>Tax</c:v>
                </c:pt>
                <c:pt idx="22">
                  <c:v>Living</c:v>
                </c:pt>
                <c:pt idx="23">
                  <c:v>Charitable</c:v>
                </c:pt>
                <c:pt idx="24">
                  <c:v>Equity 12/31/2018</c:v>
                </c:pt>
                <c:pt idx="25">
                  <c:v>Income</c:v>
                </c:pt>
                <c:pt idx="26">
                  <c:v>Fees</c:v>
                </c:pt>
                <c:pt idx="27">
                  <c:v>Tax</c:v>
                </c:pt>
                <c:pt idx="28">
                  <c:v>Living</c:v>
                </c:pt>
                <c:pt idx="29">
                  <c:v>Charitable</c:v>
                </c:pt>
                <c:pt idx="30">
                  <c:v>Equity 12/31/2019</c:v>
                </c:pt>
              </c:strCache>
            </c:strRef>
          </c:cat>
          <c:val>
            <c:numRef>
              <c:f>Data!$F$3:$F$33</c:f>
              <c:numCache>
                <c:formatCode>#,##0.0_);\(#,##0.0\)</c:formatCode>
                <c:ptCount val="31"/>
                <c:pt idx="0">
                  <c:v>100</c:v>
                </c:pt>
                <c:pt idx="1">
                  <c:v>0.72660158336976233</c:v>
                </c:pt>
                <c:pt idx="2">
                  <c:v>1</c:v>
                </c:pt>
                <c:pt idx="3">
                  <c:v>0.18165039584244058</c:v>
                </c:pt>
                <c:pt idx="4">
                  <c:v>3</c:v>
                </c:pt>
                <c:pt idx="5">
                  <c:v>1</c:v>
                </c:pt>
                <c:pt idx="6">
                  <c:v>0.6611853416873088</c:v>
                </c:pt>
                <c:pt idx="7">
                  <c:v>9.0063037383987723</c:v>
                </c:pt>
                <c:pt idx="8">
                  <c:v>0.94455048812472686</c:v>
                </c:pt>
                <c:pt idx="9">
                  <c:v>2.2515759345996931</c:v>
                </c:pt>
                <c:pt idx="10">
                  <c:v>2.8336514643741806</c:v>
                </c:pt>
                <c:pt idx="11">
                  <c:v>0.94455048812472686</c:v>
                </c:pt>
                <c:pt idx="12">
                  <c:v>2.7158202694719673</c:v>
                </c:pt>
                <c:pt idx="13">
                  <c:v>18.737746220610006</c:v>
                </c:pt>
                <c:pt idx="14">
                  <c:v>0.96487024175648106</c:v>
                </c:pt>
                <c:pt idx="15">
                  <c:v>4.6844365551525016</c:v>
                </c:pt>
                <c:pt idx="16">
                  <c:v>2.8946107252694429</c:v>
                </c:pt>
                <c:pt idx="17">
                  <c:v>0.96487024175648106</c:v>
                </c:pt>
                <c:pt idx="18">
                  <c:v>5.2581107414569797</c:v>
                </c:pt>
                <c:pt idx="19">
                  <c:v>6.5937804181485848</c:v>
                </c:pt>
                <c:pt idx="20">
                  <c:v>1.057159826323232</c:v>
                </c:pt>
                <c:pt idx="21">
                  <c:v>1.6484451045371462</c:v>
                </c:pt>
                <c:pt idx="22">
                  <c:v>3.1714794789696956</c:v>
                </c:pt>
                <c:pt idx="23">
                  <c:v>1.057159826323232</c:v>
                </c:pt>
                <c:pt idx="24">
                  <c:v>6.6536812419062894</c:v>
                </c:pt>
                <c:pt idx="25">
                  <c:v>27.574185191808102</c:v>
                </c:pt>
                <c:pt idx="26">
                  <c:v>0.95484848187095595</c:v>
                </c:pt>
                <c:pt idx="27">
                  <c:v>6.8935462979520254</c:v>
                </c:pt>
                <c:pt idx="28">
                  <c:v>2.8645454456128676</c:v>
                </c:pt>
                <c:pt idx="29">
                  <c:v>0.95484848187095595</c:v>
                </c:pt>
                <c:pt idx="30">
                  <c:v>10.502615089522216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0EB-4BC2-BB50-3C875B43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17915152"/>
        <c:axId val="417915544"/>
      </c:barChart>
      <c:barChart>
        <c:barDir val="col"/>
        <c:grouping val="stacked"/>
        <c:varyColors val="0"/>
        <c:ser>
          <c:idx val="2"/>
          <c:order val="2"/>
          <c:tx>
            <c:v>dummy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67-45CB-4147-9911-9A4A21301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07938944"/>
        <c:axId val="907941240"/>
      </c:barChart>
      <c:catAx>
        <c:axId val="41791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7915544"/>
        <c:crosses val="autoZero"/>
        <c:auto val="1"/>
        <c:lblAlgn val="ctr"/>
        <c:lblOffset val="100"/>
        <c:noMultiLvlLbl val="0"/>
      </c:catAx>
      <c:valAx>
        <c:axId val="417915544"/>
        <c:scaling>
          <c:orientation val="minMax"/>
          <c:max val="150"/>
          <c:min val="0"/>
        </c:scaling>
        <c:delete val="0"/>
        <c:axPos val="l"/>
        <c:majorGridlines>
          <c:spPr>
            <a:ln w="3175"/>
          </c:spPr>
        </c:majorGridlines>
        <c:numFmt formatCode="#,##0_);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7915152"/>
        <c:crosses val="autoZero"/>
        <c:crossBetween val="between"/>
        <c:majorUnit val="10"/>
        <c:minorUnit val="5"/>
      </c:valAx>
      <c:valAx>
        <c:axId val="907941240"/>
        <c:scaling>
          <c:orientation val="minMax"/>
          <c:max val="150"/>
        </c:scaling>
        <c:delete val="0"/>
        <c:axPos val="r"/>
        <c:numFmt formatCode="General" sourceLinked="1"/>
        <c:majorTickMark val="out"/>
        <c:minorTickMark val="none"/>
        <c:tickLblPos val="nextTo"/>
        <c:crossAx val="907938944"/>
        <c:crosses val="max"/>
        <c:crossBetween val="between"/>
        <c:majorUnit val="10"/>
      </c:valAx>
      <c:catAx>
        <c:axId val="90793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907941240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&amp;L&amp;"-,Bold"&amp;16Combined Zell Family Trusts</c:oddHeader>
    </c:headerFooter>
    <c:pageMargins b="0.75000000000000133" l="0.70000000000000062" r="0.70000000000000062" t="0.75000000000000133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580158</xdr:colOff>
      <xdr:row>33</xdr:row>
      <xdr:rowOff>0</xdr:rowOff>
    </xdr:to>
    <xdr:graphicFrame macro="">
      <xdr:nvGraphicFramePr>
        <xdr:cNvPr id="158207" name="Chart 5">
          <a:extLst>
            <a:ext uri="{FF2B5EF4-FFF2-40B4-BE49-F238E27FC236}">
              <a16:creationId xmlns:a16="http://schemas.microsoft.com/office/drawing/2014/main" id="{00000000-0008-0000-0000-0000FF69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148877</xdr:rowOff>
    </xdr:from>
    <xdr:to>
      <xdr:col>15</xdr:col>
      <xdr:colOff>510886</xdr:colOff>
      <xdr:row>2</xdr:row>
      <xdr:rowOff>68579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48877"/>
          <a:ext cx="8399318" cy="2314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Ins="0" rtlCol="0" anchor="ctr" anchorCtr="0"/>
        <a:lstStyle/>
        <a:p>
          <a:pPr algn="ctr"/>
          <a:r>
            <a:rPr lang="en-US" sz="1200" b="1" baseline="0"/>
            <a:t>Income, Fees, Taxes, Distributions and Inflation                                                                                                                For the Years 2015-2019                                                                          </a:t>
          </a:r>
          <a:endParaRPr lang="en-US" sz="12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0.37106</cdr:y>
    </cdr:from>
    <cdr:to>
      <cdr:x>0.02902</cdr:x>
      <cdr:y>0.56304</cdr:y>
    </cdr:to>
    <cdr:sp macro="" textlink="">
      <cdr:nvSpPr>
        <cdr:cNvPr id="2" name="TextBox 1"/>
        <cdr:cNvSpPr txBox="1"/>
      </cdr:nvSpPr>
      <cdr:spPr>
        <a:xfrm xmlns:a="http://schemas.openxmlformats.org/drawingml/2006/main" rot="-5400000">
          <a:off x="-413499" y="2469311"/>
          <a:ext cx="1063625" cy="236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200" b="1"/>
            <a:t>$ in Millions</a:t>
          </a:r>
        </a:p>
      </cdr:txBody>
    </cdr:sp>
  </cdr:relSizeAnchor>
  <cdr:relSizeAnchor xmlns:cdr="http://schemas.openxmlformats.org/drawingml/2006/chartDrawing">
    <cdr:from>
      <cdr:x>0</cdr:x>
      <cdr:y>0.01692</cdr:y>
    </cdr:from>
    <cdr:to>
      <cdr:x>0.99908</cdr:x>
      <cdr:y>0.01692</cdr:y>
    </cdr:to>
    <cdr:sp macro="" textlink="">
      <cdr:nvSpPr>
        <cdr:cNvPr id="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0" y="111394"/>
          <a:ext cx="840020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0.06545</cdr:x>
      <cdr:y>0.57349</cdr:y>
    </cdr:from>
    <cdr:to>
      <cdr:x>0.11636</cdr:x>
      <cdr:y>0.6196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14350" y="3790950"/>
          <a:ext cx="4000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0.00288</cdr:x>
      <cdr:y>0.00371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B9C8ED8F-6A69-4BDA-8011-2AB20F35F9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ls.gov/data/inflation_calculator.htm" TargetMode="External"/><Relationship Id="rId1" Type="http://schemas.openxmlformats.org/officeDocument/2006/relationships/hyperlink" Target="http://www.usinflationcalculator.com/inflation/historical-inflation-r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4:P44"/>
  <sheetViews>
    <sheetView showGridLines="0" tabSelected="1" zoomScale="110" zoomScaleNormal="110" workbookViewId="0">
      <selection activeCell="Q1" sqref="Q1"/>
    </sheetView>
  </sheetViews>
  <sheetFormatPr defaultRowHeight="12" customHeight="1" x14ac:dyDescent="0.3"/>
  <cols>
    <col min="1" max="1" width="8.77734375" customWidth="1"/>
    <col min="2" max="2" width="2.6640625" customWidth="1"/>
    <col min="3" max="3" width="16.77734375" customWidth="1"/>
    <col min="4" max="4" width="8.77734375" customWidth="1"/>
    <col min="5" max="5" width="2.77734375" customWidth="1"/>
    <col min="6" max="6" width="8.77734375" style="8" customWidth="1"/>
    <col min="7" max="7" width="2.77734375" style="8" customWidth="1"/>
    <col min="8" max="8" width="8.77734375" style="8" customWidth="1"/>
    <col min="9" max="9" width="2.77734375" style="8" customWidth="1"/>
    <col min="10" max="10" width="8.77734375" style="8" customWidth="1"/>
    <col min="11" max="11" width="2.77734375" style="8" customWidth="1"/>
    <col min="12" max="13" width="8.77734375" style="8" customWidth="1"/>
    <col min="14" max="14" width="14.77734375" style="8" customWidth="1"/>
    <col min="15" max="15" width="8.77734375" style="8" customWidth="1"/>
    <col min="16" max="16" width="8.77734375" customWidth="1"/>
  </cols>
  <sheetData>
    <row r="34" spans="2:16" s="13" customFormat="1" ht="11.1" customHeight="1" x14ac:dyDescent="0.3">
      <c r="B34" s="43" t="s">
        <v>24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24"/>
      <c r="N34" s="43" t="s">
        <v>27</v>
      </c>
      <c r="O34" s="43"/>
    </row>
    <row r="35" spans="2:16" s="27" customFormat="1" ht="11.1" customHeight="1" x14ac:dyDescent="0.25">
      <c r="C35" s="28"/>
      <c r="D35" s="52" t="s">
        <v>16</v>
      </c>
      <c r="F35" s="52" t="s">
        <v>15</v>
      </c>
      <c r="H35" s="52" t="s">
        <v>18</v>
      </c>
      <c r="J35" s="52" t="s">
        <v>22</v>
      </c>
      <c r="L35" s="52" t="s">
        <v>29</v>
      </c>
      <c r="M35" s="24"/>
      <c r="N35" s="17" t="s">
        <v>25</v>
      </c>
      <c r="O35" s="26">
        <f>Data!C3</f>
        <v>100</v>
      </c>
    </row>
    <row r="36" spans="2:16" s="24" customFormat="1" ht="12" customHeight="1" x14ac:dyDescent="0.25">
      <c r="B36" s="30"/>
      <c r="C36" s="17" t="s">
        <v>8</v>
      </c>
      <c r="D36" s="25">
        <f>Data!B4</f>
        <v>-7.2660158336976229E-3</v>
      </c>
      <c r="F36" s="25">
        <f>Data!B10</f>
        <v>9.5350157049619785E-2</v>
      </c>
      <c r="H36" s="25">
        <f>Data!B16</f>
        <v>0.19419964892376831</v>
      </c>
      <c r="J36" s="25">
        <f>Data!B22</f>
        <v>-6.2372597349650928E-2</v>
      </c>
      <c r="L36" s="25">
        <f>Data!B28</f>
        <v>0.28878074077028953</v>
      </c>
      <c r="N36" s="17" t="s">
        <v>8</v>
      </c>
      <c r="O36" s="26">
        <f>SUMIF(Data!$A$3:$A$33,C36,Data!$C$3:$C$33)</f>
        <v>47.997853149298535</v>
      </c>
      <c r="P36" s="27"/>
    </row>
    <row r="37" spans="2:16" s="24" customFormat="1" ht="12" customHeight="1" x14ac:dyDescent="0.25">
      <c r="B37" s="31"/>
      <c r="C37" s="17" t="s">
        <v>20</v>
      </c>
      <c r="D37" s="25">
        <f>Data!B5</f>
        <v>-0.01</v>
      </c>
      <c r="F37" s="25">
        <f>Data!B11</f>
        <v>-0.01</v>
      </c>
      <c r="H37" s="25">
        <f>Data!B17</f>
        <v>-0.01</v>
      </c>
      <c r="J37" s="25">
        <f>Data!B23</f>
        <v>-0.01</v>
      </c>
      <c r="L37" s="25">
        <f>Data!B29</f>
        <v>-0.01</v>
      </c>
      <c r="N37" s="17" t="s">
        <v>20</v>
      </c>
      <c r="O37" s="26">
        <f>SUMIF(Data!$A$3:$A$33,C37,Data!$C$3:$C$33)</f>
        <v>-4.921429038075396</v>
      </c>
      <c r="P37" s="27"/>
    </row>
    <row r="38" spans="2:16" s="24" customFormat="1" ht="12" customHeight="1" x14ac:dyDescent="0.25">
      <c r="B38" s="32"/>
      <c r="C38" s="17" t="s">
        <v>21</v>
      </c>
      <c r="D38" s="25">
        <f>Data!B6</f>
        <v>1.8165039584244057E-3</v>
      </c>
      <c r="F38" s="25">
        <f>Data!B12</f>
        <v>-2.3837539262404946E-2</v>
      </c>
      <c r="H38" s="25">
        <f>Data!B18</f>
        <v>-4.8549912230942079E-2</v>
      </c>
      <c r="J38" s="25">
        <f>Data!B24</f>
        <v>1.5593149337412732E-2</v>
      </c>
      <c r="L38" s="25">
        <f>Data!B30</f>
        <v>-7.2195185192572384E-2</v>
      </c>
      <c r="N38" s="18" t="s">
        <v>21</v>
      </c>
      <c r="O38" s="26">
        <f>SUMIF(Data!$A$3:$A$33,"Tax",Data!$C$3:$C$33)</f>
        <v>-11.999463287324634</v>
      </c>
      <c r="P38" s="27"/>
    </row>
    <row r="39" spans="2:16" s="24" customFormat="1" ht="12" customHeight="1" x14ac:dyDescent="0.25">
      <c r="B39" s="33"/>
      <c r="C39" s="17" t="s">
        <v>9</v>
      </c>
      <c r="D39" s="25">
        <f>Data!B7</f>
        <v>-0.03</v>
      </c>
      <c r="F39" s="25">
        <f>Data!B13</f>
        <v>-0.03</v>
      </c>
      <c r="H39" s="25">
        <f>Data!B19</f>
        <v>-0.03</v>
      </c>
      <c r="J39" s="25">
        <f>Data!B25</f>
        <v>-0.03</v>
      </c>
      <c r="L39" s="25">
        <f>Data!B31</f>
        <v>-0.03</v>
      </c>
      <c r="N39" s="17" t="s">
        <v>9</v>
      </c>
      <c r="O39" s="26">
        <f>SUMIF(Data!$A$3:$A$33,C39,Data!$C$3:$C$33)</f>
        <v>-14.764287114226185</v>
      </c>
      <c r="P39" s="27"/>
    </row>
    <row r="40" spans="2:16" s="24" customFormat="1" ht="12" customHeight="1" x14ac:dyDescent="0.25">
      <c r="B40" s="34"/>
      <c r="C40" s="17" t="s">
        <v>10</v>
      </c>
      <c r="D40" s="25">
        <f>Data!B8</f>
        <v>-0.01</v>
      </c>
      <c r="F40" s="25">
        <f>Data!B14</f>
        <v>-0.01</v>
      </c>
      <c r="H40" s="25">
        <f>Data!B20</f>
        <v>-0.01</v>
      </c>
      <c r="J40" s="25">
        <f>Data!B26</f>
        <v>-0.01</v>
      </c>
      <c r="L40" s="25">
        <f>Data!B32</f>
        <v>-0.01</v>
      </c>
      <c r="N40" s="17" t="s">
        <v>10</v>
      </c>
      <c r="O40" s="26">
        <f>SUMIF(Data!$A$3:$A$33,C40,Data!$C$3:$C$33)</f>
        <v>-4.921429038075396</v>
      </c>
      <c r="P40" s="27"/>
    </row>
    <row r="41" spans="2:16" s="24" customFormat="1" ht="12" customHeight="1" thickBot="1" x14ac:dyDescent="0.3">
      <c r="C41" s="17"/>
      <c r="D41" s="25"/>
      <c r="F41" s="25"/>
      <c r="H41" s="25"/>
      <c r="J41" s="25"/>
      <c r="L41" s="25"/>
      <c r="N41" s="18" t="s">
        <v>26</v>
      </c>
      <c r="O41" s="29">
        <f>SUM(O35:O40)</f>
        <v>111.39124467159691</v>
      </c>
      <c r="P41" s="27"/>
    </row>
    <row r="42" spans="2:16" s="24" customFormat="1" ht="4.05" customHeight="1" thickTop="1" x14ac:dyDescent="0.25">
      <c r="P42" s="27"/>
    </row>
    <row r="43" spans="2:16" s="24" customFormat="1" ht="12" customHeight="1" x14ac:dyDescent="0.25">
      <c r="B43" s="35"/>
      <c r="C43" s="17" t="s">
        <v>23</v>
      </c>
      <c r="D43" s="25">
        <f>Data!L4</f>
        <v>7.0000000000000001E-3</v>
      </c>
      <c r="F43" s="25">
        <f>Data!L5</f>
        <v>2.8147000000000002E-2</v>
      </c>
      <c r="H43" s="25">
        <f>Data!L6</f>
        <v>4.9738087E-2</v>
      </c>
      <c r="J43" s="25">
        <f>Data!L7</f>
        <v>6.9683110653000008E-2</v>
      </c>
      <c r="L43" s="25">
        <f>Data!L8</f>
        <v>9.4285822198018995E-2</v>
      </c>
      <c r="N43" s="17" t="s">
        <v>11</v>
      </c>
      <c r="O43" s="26">
        <f>Data!M8</f>
        <v>10.502615089522216</v>
      </c>
      <c r="P43" s="27"/>
    </row>
    <row r="44" spans="2:16" s="24" customFormat="1" ht="4.05" customHeight="1" x14ac:dyDescent="0.25"/>
  </sheetData>
  <mergeCells count="2">
    <mergeCell ref="N34:O34"/>
    <mergeCell ref="B34:L34"/>
  </mergeCells>
  <printOptions horizontalCentered="1"/>
  <pageMargins left="0.5" right="0.5" top="0.5" bottom="0.5" header="0.25" footer="0.25"/>
  <pageSetup orientation="landscape" r:id="rId1"/>
  <headerFooter scaleWithDoc="0" alignWithMargins="0"/>
  <ignoredErrors>
    <ignoredError sqref="O38" formula="1"/>
    <ignoredError sqref="D35 F35 H35 J35 L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34"/>
  <sheetViews>
    <sheetView workbookViewId="0">
      <selection activeCell="I1" sqref="I1"/>
    </sheetView>
  </sheetViews>
  <sheetFormatPr defaultRowHeight="14.4" x14ac:dyDescent="0.3"/>
  <cols>
    <col min="1" max="1" width="20.77734375" customWidth="1"/>
    <col min="2" max="2" width="10.77734375" style="8" customWidth="1"/>
    <col min="3" max="3" width="10.77734375" style="11" customWidth="1"/>
    <col min="4" max="4" width="4.77734375" style="1" customWidth="1"/>
    <col min="5" max="6" width="10.77734375" style="1" customWidth="1"/>
    <col min="7" max="8" width="10.77734375" customWidth="1"/>
    <col min="9" max="9" width="4.77734375" customWidth="1"/>
    <col min="10" max="10" width="10.77734375" style="21" customWidth="1"/>
    <col min="11" max="13" width="10.77734375" customWidth="1"/>
    <col min="14" max="14" width="4.77734375" customWidth="1"/>
    <col min="15" max="17" width="10.77734375" customWidth="1"/>
    <col min="18" max="18" width="4.77734375" customWidth="1"/>
    <col min="19" max="20" width="10.77734375" customWidth="1"/>
  </cols>
  <sheetData>
    <row r="1" spans="1:20" x14ac:dyDescent="0.3">
      <c r="A1" s="2" t="s">
        <v>0</v>
      </c>
      <c r="B1" s="10" t="s">
        <v>40</v>
      </c>
      <c r="C1" s="10" t="s">
        <v>1</v>
      </c>
      <c r="E1" s="3" t="s">
        <v>2</v>
      </c>
      <c r="F1" s="3" t="s">
        <v>3</v>
      </c>
      <c r="G1" s="4" t="s">
        <v>4</v>
      </c>
      <c r="H1" s="4" t="s">
        <v>5</v>
      </c>
      <c r="N1" s="8"/>
    </row>
    <row r="2" spans="1:20" s="2" customFormat="1" x14ac:dyDescent="0.3">
      <c r="B2" s="8"/>
      <c r="C2" s="10"/>
      <c r="D2" s="1"/>
      <c r="E2" s="3"/>
      <c r="F2" s="3"/>
      <c r="G2" s="4"/>
      <c r="H2" s="4"/>
      <c r="I2" s="8"/>
      <c r="J2" s="37"/>
      <c r="K2" s="64" t="s">
        <v>30</v>
      </c>
      <c r="L2" s="53" t="s">
        <v>12</v>
      </c>
      <c r="M2" s="64" t="s">
        <v>44</v>
      </c>
      <c r="N2" s="8"/>
      <c r="O2" s="44" t="s">
        <v>43</v>
      </c>
      <c r="P2" s="44"/>
      <c r="Q2" s="44"/>
      <c r="R2" s="8"/>
      <c r="S2" s="45" t="s">
        <v>37</v>
      </c>
      <c r="T2" s="45"/>
    </row>
    <row r="3" spans="1:20" x14ac:dyDescent="0.3">
      <c r="A3" s="48" t="s">
        <v>7</v>
      </c>
      <c r="B3" s="48"/>
      <c r="C3" s="47">
        <v>100</v>
      </c>
      <c r="E3" s="12">
        <f>IF(G3&lt;&gt;0,0,IF(H2*C3&gt;=0,H2,H2+C3))</f>
        <v>0</v>
      </c>
      <c r="F3" s="12">
        <f>IF(AND(H2&lt;&gt;0,G3=0),IF(H2+C3&lt;0,-1,IF(H2&lt;0,-1,1))*ABS(C3)+G3,IF(H2+C3&lt;0,-1,1)*ABS(C3)+G3)</f>
        <v>100</v>
      </c>
      <c r="G3" s="48">
        <f>IF(AND(H2*C3&lt;0,ABS(C3)-ABS(H2)&gt;0),H2,0)</f>
        <v>0</v>
      </c>
      <c r="H3" s="12">
        <f>C3</f>
        <v>100</v>
      </c>
      <c r="I3" s="8"/>
      <c r="J3" s="22" t="s">
        <v>31</v>
      </c>
      <c r="K3" s="41" t="s">
        <v>11</v>
      </c>
      <c r="L3" s="41" t="s">
        <v>11</v>
      </c>
      <c r="M3" s="41" t="s">
        <v>45</v>
      </c>
      <c r="N3" s="8"/>
      <c r="O3" s="54">
        <v>1</v>
      </c>
      <c r="P3" s="55"/>
      <c r="Q3" s="57"/>
      <c r="R3" s="8"/>
      <c r="S3" s="63" t="s">
        <v>39</v>
      </c>
      <c r="T3" s="63"/>
    </row>
    <row r="4" spans="1:20" x14ac:dyDescent="0.3">
      <c r="A4" s="9" t="s">
        <v>8</v>
      </c>
      <c r="B4" s="46">
        <f>M16</f>
        <v>-7.2660158336976229E-3</v>
      </c>
      <c r="C4" s="11">
        <f>C3*B4</f>
        <v>-0.72660158336976233</v>
      </c>
      <c r="E4" s="5">
        <f>IF(G4&lt;&gt;0,0,IF(H3*C4&gt;=0,H3,H3+C4))</f>
        <v>99.273398416630243</v>
      </c>
      <c r="F4" s="5">
        <f>IF(AND(H3&lt;&gt;0,G4=0),IF(H3+C4&lt;0,-1,IF(H3&lt;0,-1,1))*ABS(C4)+G4,IF(H3+C4&lt;0,-1,1)*ABS(C4)+G4)</f>
        <v>0.72660158336976233</v>
      </c>
      <c r="G4" s="6">
        <f>IF(AND(H3*C4&lt;0,ABS(C4)-ABS(H3)&gt;0),H3,0)</f>
        <v>0</v>
      </c>
      <c r="H4" s="5">
        <f>C4+H3</f>
        <v>99.273398416630243</v>
      </c>
      <c r="I4" s="8"/>
      <c r="J4" s="21">
        <v>2015</v>
      </c>
      <c r="K4" s="14">
        <v>7.0000000000000001E-3</v>
      </c>
      <c r="L4" s="15">
        <f>K4</f>
        <v>7.0000000000000001E-3</v>
      </c>
      <c r="M4" s="11">
        <f>C9*L4</f>
        <v>0.6611853416873088</v>
      </c>
      <c r="N4" s="8"/>
      <c r="O4" s="56">
        <f>O3+(O3*K4)</f>
        <v>1.0069999999999999</v>
      </c>
      <c r="P4" s="56">
        <f t="shared" ref="P4:P8" si="0">O4-1</f>
        <v>6.9999999999998952E-3</v>
      </c>
      <c r="Q4" s="57">
        <f>P4/$O$3</f>
        <v>6.9999999999998952E-3</v>
      </c>
      <c r="R4" s="8"/>
      <c r="S4" s="40" t="s">
        <v>32</v>
      </c>
      <c r="T4" s="38">
        <v>1.01</v>
      </c>
    </row>
    <row r="5" spans="1:20" s="8" customFormat="1" x14ac:dyDescent="0.3">
      <c r="A5" s="9" t="s">
        <v>20</v>
      </c>
      <c r="B5" s="46">
        <v>-0.01</v>
      </c>
      <c r="C5" s="11">
        <f>C3*B5</f>
        <v>-1</v>
      </c>
      <c r="D5" s="1"/>
      <c r="E5" s="5">
        <f>IF(G5&lt;&gt;0,0,IF(H4*C5&gt;=0,H4,H4+C5))</f>
        <v>98.273398416630243</v>
      </c>
      <c r="F5" s="5">
        <f>IF(AND(H4&lt;&gt;0,G5=0),IF(H4+C5&lt;0,-1,IF(H4&lt;0,-1,1))*ABS(C5)+G5,IF(H4+C5&lt;0,-1,1)*ABS(C5)+G5)</f>
        <v>1</v>
      </c>
      <c r="G5" s="6">
        <f>IF(AND(H4*C5&lt;0,ABS(C5)-ABS(H4)&gt;0),H4,0)</f>
        <v>0</v>
      </c>
      <c r="H5" s="5">
        <f>C5+H4</f>
        <v>98.273398416630243</v>
      </c>
      <c r="J5" s="21">
        <v>2016</v>
      </c>
      <c r="K5" s="20">
        <v>2.1000000000000001E-2</v>
      </c>
      <c r="L5" s="15">
        <f>K5+L4+(K5*L4)</f>
        <v>2.8147000000000002E-2</v>
      </c>
      <c r="M5" s="11">
        <f>C15*L5</f>
        <v>2.7158202694719673</v>
      </c>
      <c r="N5" s="2"/>
      <c r="O5" s="56">
        <f t="shared" ref="O5:O8" si="1">O4+(O4*K5)</f>
        <v>1.0281469999999999</v>
      </c>
      <c r="P5" s="56">
        <f t="shared" si="0"/>
        <v>2.8146999999999922E-2</v>
      </c>
      <c r="Q5" s="57">
        <f>P5/$O$3</f>
        <v>2.8146999999999922E-2</v>
      </c>
      <c r="S5" s="40" t="s">
        <v>33</v>
      </c>
      <c r="T5" s="38">
        <v>1.03</v>
      </c>
    </row>
    <row r="6" spans="1:20" s="8" customFormat="1" x14ac:dyDescent="0.3">
      <c r="A6" s="9" t="s">
        <v>21</v>
      </c>
      <c r="B6" s="46">
        <f>-(B4*0.25)</f>
        <v>1.8165039584244057E-3</v>
      </c>
      <c r="C6" s="11">
        <f>C3*B6</f>
        <v>0.18165039584244058</v>
      </c>
      <c r="D6" s="1"/>
      <c r="E6" s="5">
        <f>IF(G6&lt;&gt;0,0,IF(H5*C6&gt;=0,H5,H5+C6))</f>
        <v>98.273398416630243</v>
      </c>
      <c r="F6" s="5">
        <f>IF(AND(H5&lt;&gt;0,G6=0),IF(H5+C6&lt;0,-1,IF(H5&lt;0,-1,1))*ABS(C6)+G6,IF(H5+C6&lt;0,-1,1)*ABS(C6)+G6)</f>
        <v>0.18165039584244058</v>
      </c>
      <c r="G6" s="6">
        <f>IF(AND(H5*C6&lt;0,ABS(C6)-ABS(H5)&gt;0),H5,0)</f>
        <v>0</v>
      </c>
      <c r="H6" s="5">
        <f>C6+H5</f>
        <v>98.455048812472683</v>
      </c>
      <c r="I6" s="2"/>
      <c r="J6" s="21">
        <v>2017</v>
      </c>
      <c r="K6" s="20">
        <v>2.1000000000000001E-2</v>
      </c>
      <c r="L6" s="15">
        <f>K6+L5+(K6*L5)</f>
        <v>4.9738087E-2</v>
      </c>
      <c r="M6" s="11">
        <f>C21*L6</f>
        <v>5.2581107414569797</v>
      </c>
      <c r="N6" s="2"/>
      <c r="O6" s="56">
        <f t="shared" si="1"/>
        <v>1.0497380869999999</v>
      </c>
      <c r="P6" s="56">
        <f t="shared" si="0"/>
        <v>4.9738086999999931E-2</v>
      </c>
      <c r="Q6" s="57">
        <f>P6/$O$3</f>
        <v>4.9738086999999931E-2</v>
      </c>
      <c r="S6" s="40" t="s">
        <v>34</v>
      </c>
      <c r="T6" s="38">
        <v>1.05</v>
      </c>
    </row>
    <row r="7" spans="1:20" s="8" customFormat="1" x14ac:dyDescent="0.3">
      <c r="A7" s="9" t="s">
        <v>9</v>
      </c>
      <c r="B7" s="46">
        <v>-0.03</v>
      </c>
      <c r="C7" s="11">
        <f>C3*B7</f>
        <v>-3</v>
      </c>
      <c r="D7" s="1"/>
      <c r="E7" s="5">
        <f>IF(G7&lt;&gt;0,0,IF(H6*C7&gt;=0,H6,H6+C7))</f>
        <v>95.455048812472683</v>
      </c>
      <c r="F7" s="5">
        <f>IF(AND(H6&lt;&gt;0,G7=0),IF(H6+C7&lt;0,-1,IF(H6&lt;0,-1,1))*ABS(C7)+G7,IF(H6+C7&lt;0,-1,1)*ABS(C7)+G7)</f>
        <v>3</v>
      </c>
      <c r="G7" s="6">
        <f>IF(AND(H6*C7&lt;0,ABS(C7)-ABS(H6)&gt;0),H6,0)</f>
        <v>0</v>
      </c>
      <c r="H7" s="5">
        <f>C7+H6</f>
        <v>95.455048812472683</v>
      </c>
      <c r="I7" s="2"/>
      <c r="J7" s="23">
        <v>2018</v>
      </c>
      <c r="K7" s="20">
        <v>1.9E-2</v>
      </c>
      <c r="L7" s="15">
        <f t="shared" ref="L7:L8" si="2">K7+L6+(K7*L6)</f>
        <v>6.9683110653000008E-2</v>
      </c>
      <c r="M7" s="11">
        <f>C27*L7</f>
        <v>6.6536812419062894</v>
      </c>
      <c r="N7"/>
      <c r="O7" s="56">
        <f t="shared" si="1"/>
        <v>1.069683110653</v>
      </c>
      <c r="P7" s="56">
        <f t="shared" si="0"/>
        <v>6.9683110653000035E-2</v>
      </c>
      <c r="Q7" s="57">
        <f>P7/$O$3</f>
        <v>6.9683110653000035E-2</v>
      </c>
      <c r="S7" s="40" t="s">
        <v>35</v>
      </c>
      <c r="T7" s="38">
        <v>1.07</v>
      </c>
    </row>
    <row r="8" spans="1:20" s="8" customFormat="1" x14ac:dyDescent="0.3">
      <c r="A8" s="9" t="s">
        <v>10</v>
      </c>
      <c r="B8" s="46">
        <v>-0.01</v>
      </c>
      <c r="C8" s="11">
        <f>C3*B8</f>
        <v>-1</v>
      </c>
      <c r="D8" s="1"/>
      <c r="E8" s="5">
        <f>IF(G8&lt;&gt;0,0,IF(H7*C8&gt;=0,H7,H7+C8))</f>
        <v>94.455048812472683</v>
      </c>
      <c r="F8" s="5">
        <f>IF(AND(H7&lt;&gt;0,G8=0),IF(H7+C8&lt;0,-1,IF(H7&lt;0,-1,1))*ABS(C8)+G8,IF(H7+C8&lt;0,-1,1)*ABS(C8)+G8)</f>
        <v>1</v>
      </c>
      <c r="G8" s="6">
        <f>IF(AND(H7*C8&lt;0,ABS(C8)-ABS(H7)&gt;0),H7,0)</f>
        <v>0</v>
      </c>
      <c r="H8" s="5">
        <f>C8+H7</f>
        <v>94.455048812472683</v>
      </c>
      <c r="J8" s="23">
        <v>2019</v>
      </c>
      <c r="K8" s="20">
        <v>2.3E-2</v>
      </c>
      <c r="L8" s="15">
        <f t="shared" si="2"/>
        <v>9.4285822198018995E-2</v>
      </c>
      <c r="M8" s="11">
        <f>C33*L8</f>
        <v>10.502615089522216</v>
      </c>
      <c r="N8"/>
      <c r="O8" s="56">
        <f t="shared" si="1"/>
        <v>1.094285822198019</v>
      </c>
      <c r="P8" s="56">
        <f t="shared" si="0"/>
        <v>9.4285822198018954E-2</v>
      </c>
      <c r="Q8" s="57">
        <f>P8/$O$3</f>
        <v>9.4285822198018954E-2</v>
      </c>
      <c r="S8" s="40" t="s">
        <v>36</v>
      </c>
      <c r="T8" s="38">
        <v>1.0900000000000001</v>
      </c>
    </row>
    <row r="9" spans="1:20" s="8" customFormat="1" x14ac:dyDescent="0.3">
      <c r="A9" s="48" t="s">
        <v>6</v>
      </c>
      <c r="B9" s="48"/>
      <c r="C9" s="49">
        <f>SUM(C3:C8)</f>
        <v>94.455048812472683</v>
      </c>
      <c r="D9" s="7"/>
      <c r="E9" s="12">
        <f>C9-M4</f>
        <v>93.793863470785368</v>
      </c>
      <c r="F9" s="12">
        <f>M4</f>
        <v>0.6611853416873088</v>
      </c>
      <c r="G9" s="48">
        <f>IF(AND(H6*C9&lt;0,ABS(C9)-ABS(H6)&gt;0),H6,0)</f>
        <v>0</v>
      </c>
      <c r="H9" s="12">
        <f>C9</f>
        <v>94.455048812472683</v>
      </c>
      <c r="I9"/>
      <c r="J9" s="21"/>
    </row>
    <row r="10" spans="1:20" s="8" customFormat="1" x14ac:dyDescent="0.3">
      <c r="A10" s="9" t="s">
        <v>8</v>
      </c>
      <c r="B10" s="46">
        <f>M17</f>
        <v>9.5350157049619785E-2</v>
      </c>
      <c r="C10" s="11">
        <f>C9*B10</f>
        <v>9.0063037383987723</v>
      </c>
      <c r="D10" s="7"/>
      <c r="E10" s="5">
        <f>IF(G10&lt;&gt;0,0,IF(H9*C10&gt;=0,H9,H9+C10))</f>
        <v>94.455048812472683</v>
      </c>
      <c r="F10" s="5">
        <f>IF(AND(H9&lt;&gt;0,G10=0),IF(H9+C10&lt;0,-1,IF(H9&lt;0,-1,1))*ABS(C10)+G10,IF(H9+C10&lt;0,-1,1)*ABS(C10)+G10)</f>
        <v>9.0063037383987723</v>
      </c>
      <c r="G10" s="6">
        <f>IF(AND(H9*C10&lt;0,ABS(C10)-ABS(H9)&gt;0),H9,0)</f>
        <v>0</v>
      </c>
      <c r="H10" s="5">
        <f>C10+H9</f>
        <v>103.46135255087145</v>
      </c>
      <c r="I10"/>
      <c r="J10" s="16" t="s">
        <v>14</v>
      </c>
      <c r="S10" s="16" t="s">
        <v>38</v>
      </c>
    </row>
    <row r="11" spans="1:20" s="8" customFormat="1" x14ac:dyDescent="0.3">
      <c r="A11" s="9" t="s">
        <v>20</v>
      </c>
      <c r="B11" s="46">
        <v>-0.01</v>
      </c>
      <c r="C11" s="11">
        <f>C9*B11</f>
        <v>-0.94455048812472686</v>
      </c>
      <c r="D11" s="7"/>
      <c r="E11" s="5">
        <f>IF(G11&lt;&gt;0,0,IF(H10*C11&gt;=0,H10,H10+C11))</f>
        <v>102.51680206274672</v>
      </c>
      <c r="F11" s="5">
        <f>IF(AND(H10&lt;&gt;0,G11=0),IF(H10+C11&lt;0,-1,IF(H10&lt;0,-1,1))*ABS(C11)+G11,IF(H10+C11&lt;0,-1,1)*ABS(C11)+G11)</f>
        <v>0.94455048812472686</v>
      </c>
      <c r="G11" s="6">
        <f>IF(AND(H10*C11&lt;0,ABS(C11)-ABS(H10)&gt;0),H10,0)</f>
        <v>0</v>
      </c>
      <c r="H11" s="5">
        <f>C11+H10</f>
        <v>102.51680206274672</v>
      </c>
      <c r="J11" s="21"/>
      <c r="M11"/>
    </row>
    <row r="12" spans="1:20" s="8" customFormat="1" x14ac:dyDescent="0.3">
      <c r="A12" s="9" t="s">
        <v>21</v>
      </c>
      <c r="B12" s="46">
        <f>-(B10*0.25)</f>
        <v>-2.3837539262404946E-2</v>
      </c>
      <c r="C12" s="11">
        <f>C9*B12</f>
        <v>-2.2515759345996931</v>
      </c>
      <c r="D12" s="7"/>
      <c r="E12" s="5">
        <f>IF(G12&lt;&gt;0,0,IF(H11*C12&gt;=0,H11,H11+C12))</f>
        <v>100.26522612814702</v>
      </c>
      <c r="F12" s="5">
        <f>IF(AND(H11&lt;&gt;0,G12=0),IF(H11+C12&lt;0,-1,IF(H11&lt;0,-1,1))*ABS(C12)+G12,IF(H11+C12&lt;0,-1,1)*ABS(C12)+G12)</f>
        <v>2.2515759345996931</v>
      </c>
      <c r="G12" s="6">
        <f>IF(AND(H11*C12&lt;0,ABS(C12)-ABS(H11)&gt;0),H11,0)</f>
        <v>0</v>
      </c>
      <c r="H12" s="5">
        <f>C12+H11</f>
        <v>100.26522612814702</v>
      </c>
      <c r="J12" s="21"/>
      <c r="K12"/>
      <c r="L12"/>
      <c r="M12"/>
    </row>
    <row r="13" spans="1:20" s="8" customFormat="1" x14ac:dyDescent="0.3">
      <c r="A13" s="9" t="s">
        <v>9</v>
      </c>
      <c r="B13" s="46">
        <v>-0.03</v>
      </c>
      <c r="C13" s="11">
        <f>C9*B13</f>
        <v>-2.8336514643741806</v>
      </c>
      <c r="D13" s="7"/>
      <c r="E13" s="5">
        <f>IF(G13&lt;&gt;0,0,IF(H12*C13&gt;=0,H12,H12+C13))</f>
        <v>97.431574663772835</v>
      </c>
      <c r="F13" s="5">
        <f>IF(AND(H12&lt;&gt;0,G13=0),IF(H12+C13&lt;0,-1,IF(H12&lt;0,-1,1))*ABS(C13)+G13,IF(H12+C13&lt;0,-1,1)*ABS(C13)+G13)</f>
        <v>2.8336514643741806</v>
      </c>
      <c r="G13" s="6">
        <f>IF(AND(H12*C13&lt;0,ABS(C13)-ABS(H12)&gt;0),H12,0)</f>
        <v>0</v>
      </c>
      <c r="H13" s="5">
        <f>C13+H12</f>
        <v>97.431574663772835</v>
      </c>
      <c r="K13" s="21"/>
      <c r="M13" s="39" t="s">
        <v>8</v>
      </c>
    </row>
    <row r="14" spans="1:20" s="8" customFormat="1" x14ac:dyDescent="0.3">
      <c r="A14" s="9" t="s">
        <v>10</v>
      </c>
      <c r="B14" s="46">
        <v>-0.01</v>
      </c>
      <c r="C14" s="11">
        <f>C9*B14</f>
        <v>-0.94455048812472686</v>
      </c>
      <c r="D14" s="7"/>
      <c r="E14" s="5">
        <f>IF(G14&lt;&gt;0,0,IF(H13*C14&gt;=0,H13,H13+C14))</f>
        <v>96.487024175648102</v>
      </c>
      <c r="F14" s="5">
        <f>IF(AND(H13&lt;&gt;0,G14=0),IF(H13+C14&lt;0,-1,IF(H13&lt;0,-1,1))*ABS(C14)+G14,IF(H13+C14&lt;0,-1,1)*ABS(C14)+G14)</f>
        <v>0.94455048812472686</v>
      </c>
      <c r="G14" s="6">
        <f>IF(AND(H13*C14&lt;0,ABS(C14)-ABS(H13)&gt;0),H13,0)</f>
        <v>0</v>
      </c>
      <c r="H14" s="5">
        <f>C14+H13</f>
        <v>96.487024175648102</v>
      </c>
      <c r="J14" s="36" t="s">
        <v>31</v>
      </c>
      <c r="K14" s="36" t="s">
        <v>41</v>
      </c>
      <c r="L14" s="36" t="s">
        <v>42</v>
      </c>
      <c r="M14" s="36" t="s">
        <v>45</v>
      </c>
    </row>
    <row r="15" spans="1:20" s="8" customFormat="1" x14ac:dyDescent="0.3">
      <c r="A15" s="48" t="s">
        <v>13</v>
      </c>
      <c r="B15" s="48"/>
      <c r="C15" s="49">
        <f>SUM(C9:C14)</f>
        <v>96.487024175648102</v>
      </c>
      <c r="D15" s="7"/>
      <c r="E15" s="12">
        <f>C15-M5</f>
        <v>93.77120390617614</v>
      </c>
      <c r="F15" s="12">
        <f>M5</f>
        <v>2.7158202694719673</v>
      </c>
      <c r="G15" s="48">
        <f>IF(AND(H12*C15&lt;0,ABS(C15)-ABS(H12)&gt;0),H12,0)</f>
        <v>0</v>
      </c>
      <c r="H15" s="12">
        <f>C15</f>
        <v>96.487024175648102</v>
      </c>
      <c r="J15" s="21"/>
      <c r="K15" s="59">
        <v>42004</v>
      </c>
      <c r="L15" s="60">
        <v>2058.9</v>
      </c>
      <c r="M15" s="58"/>
      <c r="O15"/>
      <c r="P15"/>
      <c r="Q15"/>
      <c r="R15"/>
      <c r="S15"/>
      <c r="T15"/>
    </row>
    <row r="16" spans="1:20" s="8" customFormat="1" x14ac:dyDescent="0.3">
      <c r="A16" s="9" t="s">
        <v>8</v>
      </c>
      <c r="B16" s="46">
        <f>M18</f>
        <v>0.19419964892376831</v>
      </c>
      <c r="C16" s="11">
        <f>C15*B16</f>
        <v>18.737746220610006</v>
      </c>
      <c r="D16" s="1"/>
      <c r="E16" s="5">
        <f>IF(G16&lt;&gt;0,0,IF(H15*C16&gt;=0,H15,H15+C16))</f>
        <v>96.487024175648102</v>
      </c>
      <c r="F16" s="5">
        <f>IF(AND(H15&lt;&gt;0,G16=0),IF(H15+C16&lt;0,-1,IF(H15&lt;0,-1,1))*ABS(C16)+G16,IF(H15+C16&lt;0,-1,1)*ABS(C16)+G16)</f>
        <v>18.737746220610006</v>
      </c>
      <c r="G16" s="6">
        <f>IF(AND(H15*C16&lt;0,ABS(C16)-ABS(H15)&gt;0),H15,0)</f>
        <v>0</v>
      </c>
      <c r="H16" s="5">
        <f>C16+H15</f>
        <v>115.22477039625811</v>
      </c>
      <c r="J16" s="21">
        <v>2015</v>
      </c>
      <c r="K16" s="59">
        <v>42369</v>
      </c>
      <c r="L16" s="60">
        <v>2043.94</v>
      </c>
      <c r="M16" s="20">
        <f>(L16-L15)/L15</f>
        <v>-7.2660158336976229E-3</v>
      </c>
      <c r="O16"/>
      <c r="P16"/>
      <c r="Q16"/>
      <c r="R16"/>
      <c r="S16"/>
      <c r="T16"/>
    </row>
    <row r="17" spans="1:20" s="8" customFormat="1" x14ac:dyDescent="0.3">
      <c r="A17" s="9" t="s">
        <v>20</v>
      </c>
      <c r="B17" s="46">
        <v>-0.01</v>
      </c>
      <c r="C17" s="11">
        <f>C15*B17</f>
        <v>-0.96487024175648106</v>
      </c>
      <c r="D17" s="1"/>
      <c r="E17" s="5">
        <f>IF(G17&lt;&gt;0,0,IF(H16*C17&gt;=0,H16,H16+C17))</f>
        <v>114.25990015450162</v>
      </c>
      <c r="F17" s="5">
        <f>IF(AND(H16&lt;&gt;0,G17=0),IF(H16+C17&lt;0,-1,IF(H16&lt;0,-1,1))*ABS(C17)+G17,IF(H16+C17&lt;0,-1,1)*ABS(C17)+G17)</f>
        <v>0.96487024175648106</v>
      </c>
      <c r="G17" s="6">
        <f>IF(AND(H16*C17&lt;0,ABS(C17)-ABS(H16)&gt;0),H16,0)</f>
        <v>0</v>
      </c>
      <c r="H17" s="5">
        <f>C17+H16</f>
        <v>114.25990015450162</v>
      </c>
      <c r="J17" s="21">
        <v>2016</v>
      </c>
      <c r="K17" s="59">
        <v>42735</v>
      </c>
      <c r="L17" s="60">
        <v>2238.83</v>
      </c>
      <c r="M17" s="20">
        <f t="shared" ref="M17:M20" si="3">(L17-L16)/L16</f>
        <v>9.5350157049619785E-2</v>
      </c>
      <c r="O17"/>
      <c r="P17"/>
      <c r="Q17"/>
      <c r="R17"/>
      <c r="S17"/>
      <c r="T17"/>
    </row>
    <row r="18" spans="1:20" s="8" customFormat="1" x14ac:dyDescent="0.3">
      <c r="A18" s="9" t="s">
        <v>21</v>
      </c>
      <c r="B18" s="46">
        <f>-(B16*0.25)</f>
        <v>-4.8549912230942079E-2</v>
      </c>
      <c r="C18" s="11">
        <f>C15*B18</f>
        <v>-4.6844365551525016</v>
      </c>
      <c r="D18" s="1"/>
      <c r="E18" s="5">
        <f>IF(G18&lt;&gt;0,0,IF(H17*C18&gt;=0,H17,H17+C18))</f>
        <v>109.57546359934912</v>
      </c>
      <c r="F18" s="5">
        <f>IF(AND(H17&lt;&gt;0,G18=0),IF(H17+C18&lt;0,-1,IF(H17&lt;0,-1,1))*ABS(C18)+G18,IF(H17+C18&lt;0,-1,1)*ABS(C18)+G18)</f>
        <v>4.6844365551525016</v>
      </c>
      <c r="G18" s="6">
        <f>IF(AND(H17*C18&lt;0,ABS(C18)-ABS(H17)&gt;0),H17,0)</f>
        <v>0</v>
      </c>
      <c r="H18" s="5">
        <f>C18+H17</f>
        <v>109.57546359934912</v>
      </c>
      <c r="J18" s="21">
        <v>2017</v>
      </c>
      <c r="K18" s="59">
        <v>43100</v>
      </c>
      <c r="L18" s="60">
        <v>2673.61</v>
      </c>
      <c r="M18" s="20">
        <f t="shared" si="3"/>
        <v>0.19419964892376831</v>
      </c>
      <c r="O18"/>
      <c r="P18"/>
      <c r="Q18"/>
      <c r="R18"/>
      <c r="S18"/>
      <c r="T18"/>
    </row>
    <row r="19" spans="1:20" s="8" customFormat="1" x14ac:dyDescent="0.3">
      <c r="A19" s="9" t="s">
        <v>9</v>
      </c>
      <c r="B19" s="46">
        <v>-0.03</v>
      </c>
      <c r="C19" s="11">
        <f>C15*B19</f>
        <v>-2.8946107252694429</v>
      </c>
      <c r="D19" s="1"/>
      <c r="E19" s="5">
        <f>IF(G19&lt;&gt;0,0,IF(H18*C19&gt;=0,H18,H18+C19))</f>
        <v>106.68085287407968</v>
      </c>
      <c r="F19" s="5">
        <f>IF(AND(H18&lt;&gt;0,G19=0),IF(H18+C19&lt;0,-1,IF(H18&lt;0,-1,1))*ABS(C19)+G19,IF(H18+C19&lt;0,-1,1)*ABS(C19)+G19)</f>
        <v>2.8946107252694429</v>
      </c>
      <c r="G19" s="6">
        <f>IF(AND(H18*C19&lt;0,ABS(C19)-ABS(H18)&gt;0),H18,0)</f>
        <v>0</v>
      </c>
      <c r="H19" s="5">
        <f>C19+H18</f>
        <v>106.68085287407968</v>
      </c>
      <c r="J19" s="23">
        <v>2018</v>
      </c>
      <c r="K19" s="59">
        <v>43465</v>
      </c>
      <c r="L19" s="60">
        <v>2506.85</v>
      </c>
      <c r="M19" s="20">
        <f t="shared" si="3"/>
        <v>-6.2372597349650928E-2</v>
      </c>
      <c r="O19"/>
      <c r="P19"/>
      <c r="Q19"/>
      <c r="R19"/>
      <c r="S19"/>
      <c r="T19"/>
    </row>
    <row r="20" spans="1:20" x14ac:dyDescent="0.3">
      <c r="A20" s="9" t="s">
        <v>10</v>
      </c>
      <c r="B20" s="46">
        <v>-0.01</v>
      </c>
      <c r="C20" s="11">
        <f>C15*B20</f>
        <v>-0.96487024175648106</v>
      </c>
      <c r="E20" s="5">
        <f>IF(G20&lt;&gt;0,0,IF(H19*C20&gt;=0,H19,H19+C20))</f>
        <v>105.71598263232319</v>
      </c>
      <c r="F20" s="5">
        <f>IF(AND(H19&lt;&gt;0,G20=0),IF(H19+C20&lt;0,-1,IF(H19&lt;0,-1,1))*ABS(C20)+G20,IF(H19+C20&lt;0,-1,1)*ABS(C20)+G20)</f>
        <v>0.96487024175648106</v>
      </c>
      <c r="G20" s="6">
        <f>IF(AND(H19*C20&lt;0,ABS(C20)-ABS(H19)&gt;0),H19,0)</f>
        <v>0</v>
      </c>
      <c r="H20" s="5">
        <f>C20+H19</f>
        <v>105.71598263232319</v>
      </c>
      <c r="I20" s="8"/>
      <c r="J20" s="23">
        <v>2019</v>
      </c>
      <c r="K20" s="59">
        <v>43830</v>
      </c>
      <c r="L20" s="60">
        <v>3230.78</v>
      </c>
      <c r="M20" s="20">
        <f t="shared" si="3"/>
        <v>0.28878074077028953</v>
      </c>
      <c r="N20" s="8"/>
    </row>
    <row r="21" spans="1:20" x14ac:dyDescent="0.3">
      <c r="A21" s="48" t="s">
        <v>17</v>
      </c>
      <c r="B21" s="48"/>
      <c r="C21" s="49">
        <f>SUM(C15:C20)</f>
        <v>105.71598263232319</v>
      </c>
      <c r="E21" s="12">
        <f>C21-M6</f>
        <v>100.45787189086622</v>
      </c>
      <c r="F21" s="12">
        <f>M6</f>
        <v>5.2581107414569797</v>
      </c>
      <c r="G21" s="48">
        <f>IF(AND(H20*C21&lt;0,ABS(C21)-ABS(H20)&gt;0),H20,0)</f>
        <v>0</v>
      </c>
      <c r="H21" s="12">
        <f>C21</f>
        <v>105.71598263232319</v>
      </c>
      <c r="I21" s="8"/>
      <c r="K21" s="8"/>
      <c r="L21" s="8"/>
      <c r="M21" s="8"/>
      <c r="N21" s="8"/>
    </row>
    <row r="22" spans="1:20" x14ac:dyDescent="0.3">
      <c r="A22" s="62" t="s">
        <v>8</v>
      </c>
      <c r="B22" s="61">
        <f>M19</f>
        <v>-6.2372597349650928E-2</v>
      </c>
      <c r="C22" s="42">
        <f>C21*B22</f>
        <v>-6.5937804181485848</v>
      </c>
      <c r="E22" s="5">
        <f>IF(G22&lt;&gt;0,0,IF(H21*C22&gt;=0,H21,H21+C22))</f>
        <v>99.122202214174607</v>
      </c>
      <c r="F22" s="5">
        <f>IF(AND(H21&lt;&gt;0,G22=0),IF(H21+C22&lt;0,-1,IF(H21&lt;0,-1,1))*ABS(C22)+G22,IF(H21+C22&lt;0,-1,1)*ABS(C22)+G22)</f>
        <v>6.5937804181485848</v>
      </c>
      <c r="G22" s="6">
        <f>IF(AND(H21*C22&lt;0,ABS(C22)-ABS(H21)&gt;0),H21,0)</f>
        <v>0</v>
      </c>
      <c r="H22" s="5">
        <f>C22+H21</f>
        <v>99.122202214174607</v>
      </c>
      <c r="I22" s="8"/>
      <c r="K22" s="8"/>
      <c r="L22" s="8"/>
      <c r="M22" s="8"/>
      <c r="N22" s="8"/>
    </row>
    <row r="23" spans="1:20" x14ac:dyDescent="0.3">
      <c r="A23" s="62" t="s">
        <v>20</v>
      </c>
      <c r="B23" s="61">
        <v>-0.01</v>
      </c>
      <c r="C23" s="42">
        <f>C21*B23</f>
        <v>-1.057159826323232</v>
      </c>
      <c r="E23" s="5">
        <f>IF(G23&lt;&gt;0,0,IF(H22*C23&gt;=0,H22,H22+C23))</f>
        <v>98.065042387851378</v>
      </c>
      <c r="F23" s="5">
        <f>IF(AND(H22&lt;&gt;0,G23=0),IF(H22+C23&lt;0,-1,IF(H22&lt;0,-1,1))*ABS(C23)+G23,IF(H22+C23&lt;0,-1,1)*ABS(C23)+G23)</f>
        <v>1.057159826323232</v>
      </c>
      <c r="G23" s="6">
        <f>IF(AND(H22*C23&lt;0,ABS(C23)-ABS(H22)&gt;0),H22,0)</f>
        <v>0</v>
      </c>
      <c r="H23" s="5">
        <f>C23+H22</f>
        <v>98.065042387851378</v>
      </c>
      <c r="I23" s="8"/>
      <c r="K23" s="8"/>
      <c r="L23" s="8"/>
      <c r="M23" s="8"/>
      <c r="N23" s="8"/>
    </row>
    <row r="24" spans="1:20" x14ac:dyDescent="0.3">
      <c r="A24" s="62" t="s">
        <v>21</v>
      </c>
      <c r="B24" s="61">
        <f>-(B22*0.25)</f>
        <v>1.5593149337412732E-2</v>
      </c>
      <c r="C24" s="42">
        <f>C21*B24</f>
        <v>1.6484451045371462</v>
      </c>
      <c r="E24" s="5">
        <f>IF(G24&lt;&gt;0,0,IF(H23*C24&gt;=0,H23,H23+C24))</f>
        <v>98.065042387851378</v>
      </c>
      <c r="F24" s="5">
        <f>IF(AND(H23&lt;&gt;0,G24=0),IF(H23+C24&lt;0,-1,IF(H23&lt;0,-1,1))*ABS(C24)+G24,IF(H23+C24&lt;0,-1,1)*ABS(C24)+G24)</f>
        <v>1.6484451045371462</v>
      </c>
      <c r="G24" s="6">
        <f>IF(AND(H23*C24&lt;0,ABS(C24)-ABS(H23)&gt;0),H23,0)</f>
        <v>0</v>
      </c>
      <c r="H24" s="5">
        <f>C24+H23</f>
        <v>99.713487492388523</v>
      </c>
      <c r="I24" s="8"/>
      <c r="K24" s="8"/>
      <c r="L24" s="8"/>
      <c r="M24" s="8"/>
      <c r="N24" s="8"/>
    </row>
    <row r="25" spans="1:20" x14ac:dyDescent="0.3">
      <c r="A25" s="62" t="s">
        <v>9</v>
      </c>
      <c r="B25" s="61">
        <v>-0.03</v>
      </c>
      <c r="C25" s="42">
        <f>C21*B25</f>
        <v>-3.1714794789696956</v>
      </c>
      <c r="E25" s="5">
        <f>IF(G25&lt;&gt;0,0,IF(H24*C25&gt;=0,H24,H24+C25))</f>
        <v>96.542008013418823</v>
      </c>
      <c r="F25" s="5">
        <f>IF(AND(H24&lt;&gt;0,G25=0),IF(H24+C25&lt;0,-1,IF(H24&lt;0,-1,1))*ABS(C25)+G25,IF(H24+C25&lt;0,-1,1)*ABS(C25)+G25)</f>
        <v>3.1714794789696956</v>
      </c>
      <c r="G25" s="6">
        <f>IF(AND(H24*C25&lt;0,ABS(C25)-ABS(H24)&gt;0),H24,0)</f>
        <v>0</v>
      </c>
      <c r="H25" s="5">
        <f>C25+H24</f>
        <v>96.542008013418823</v>
      </c>
      <c r="I25" s="8"/>
      <c r="K25" s="8"/>
      <c r="L25" s="8"/>
      <c r="M25" s="8"/>
      <c r="N25" s="8"/>
    </row>
    <row r="26" spans="1:20" x14ac:dyDescent="0.3">
      <c r="A26" s="62" t="s">
        <v>10</v>
      </c>
      <c r="B26" s="61">
        <v>-0.01</v>
      </c>
      <c r="C26" s="42">
        <f>C21*B26</f>
        <v>-1.057159826323232</v>
      </c>
      <c r="E26" s="5">
        <f>IF(G26&lt;&gt;0,0,IF(H25*C26&gt;=0,H25,H25+C26))</f>
        <v>95.484848187095594</v>
      </c>
      <c r="F26" s="5">
        <f>IF(AND(H25&lt;&gt;0,G26=0),IF(H25+C26&lt;0,-1,IF(H25&lt;0,-1,1))*ABS(C26)+G26,IF(H25+C26&lt;0,-1,1)*ABS(C26)+G26)</f>
        <v>1.057159826323232</v>
      </c>
      <c r="G26" s="6">
        <f>IF(AND(H25*C26&lt;0,ABS(C26)-ABS(H25)&gt;0),H25,0)</f>
        <v>0</v>
      </c>
      <c r="H26" s="5">
        <f>C26+H25</f>
        <v>95.484848187095594</v>
      </c>
      <c r="I26" s="8"/>
      <c r="K26" s="8"/>
      <c r="L26" s="8"/>
      <c r="M26" s="8"/>
      <c r="N26" s="8"/>
    </row>
    <row r="27" spans="1:20" x14ac:dyDescent="0.3">
      <c r="A27" s="50" t="s">
        <v>19</v>
      </c>
      <c r="B27" s="50"/>
      <c r="C27" s="51">
        <f>SUM(C21:C26)</f>
        <v>95.484848187095594</v>
      </c>
      <c r="E27" s="12">
        <f>C27-M7</f>
        <v>88.83116694518931</v>
      </c>
      <c r="F27" s="12">
        <f>M7</f>
        <v>6.6536812419062894</v>
      </c>
      <c r="G27" s="48">
        <f>IF(AND(H24*C27&lt;0,ABS(C27)-ABS(H24)&gt;0),H24,0)</f>
        <v>0</v>
      </c>
      <c r="H27" s="12">
        <f>C27</f>
        <v>95.484848187095594</v>
      </c>
      <c r="K27" s="8"/>
      <c r="L27" s="8"/>
      <c r="M27" s="8"/>
      <c r="N27" s="8"/>
    </row>
    <row r="28" spans="1:20" x14ac:dyDescent="0.3">
      <c r="A28" s="62" t="s">
        <v>8</v>
      </c>
      <c r="B28" s="61">
        <f>M20</f>
        <v>0.28878074077028953</v>
      </c>
      <c r="C28" s="42">
        <f>C27*B28</f>
        <v>27.574185191808102</v>
      </c>
      <c r="E28" s="5">
        <f>IF(G28&lt;&gt;0,0,IF(H27*C28&gt;=0,H27,H27+C28))</f>
        <v>95.484848187095594</v>
      </c>
      <c r="F28" s="5">
        <f>IF(AND(H27&lt;&gt;0,G28=0),IF(H27+C28&lt;0,-1,IF(H27&lt;0,-1,1))*ABS(C28)+G28,IF(H27+C28&lt;0,-1,1)*ABS(C28)+G28)</f>
        <v>27.574185191808102</v>
      </c>
      <c r="G28" s="6">
        <f>IF(AND(H27*C28&lt;0,ABS(C28)-ABS(H27)&gt;0),H27,0)</f>
        <v>0</v>
      </c>
      <c r="H28" s="5">
        <f>C28+H27</f>
        <v>123.05903337890369</v>
      </c>
      <c r="K28" s="8"/>
      <c r="L28" s="8"/>
      <c r="M28" s="8"/>
      <c r="N28" s="8"/>
    </row>
    <row r="29" spans="1:20" x14ac:dyDescent="0.3">
      <c r="A29" s="62" t="s">
        <v>20</v>
      </c>
      <c r="B29" s="61">
        <v>-0.01</v>
      </c>
      <c r="C29" s="42">
        <f>C27*B29</f>
        <v>-0.95484848187095595</v>
      </c>
      <c r="E29" s="5">
        <f>IF(G29&lt;&gt;0,0,IF(H28*C29&gt;=0,H28,H28+C29))</f>
        <v>122.10418489703274</v>
      </c>
      <c r="F29" s="5">
        <f>IF(AND(H28&lt;&gt;0,G29=0),IF(H28+C29&lt;0,-1,IF(H28&lt;0,-1,1))*ABS(C29)+G29,IF(H28+C29&lt;0,-1,1)*ABS(C29)+G29)</f>
        <v>0.95484848187095595</v>
      </c>
      <c r="G29" s="6">
        <f>IF(AND(H28*C29&lt;0,ABS(C29)-ABS(H28)&gt;0),H28,0)</f>
        <v>0</v>
      </c>
      <c r="H29" s="5">
        <f>C29+H28</f>
        <v>122.10418489703274</v>
      </c>
      <c r="K29" s="8"/>
      <c r="L29" s="8"/>
      <c r="M29" s="8"/>
      <c r="N29" s="8"/>
    </row>
    <row r="30" spans="1:20" x14ac:dyDescent="0.3">
      <c r="A30" s="62" t="s">
        <v>21</v>
      </c>
      <c r="B30" s="61">
        <f>-(B28*0.25)</f>
        <v>-7.2195185192572384E-2</v>
      </c>
      <c r="C30" s="42">
        <f>C27*B30</f>
        <v>-6.8935462979520254</v>
      </c>
      <c r="E30" s="5">
        <f>IF(G30&lt;&gt;0,0,IF(H29*C30&gt;=0,H29,H29+C30))</f>
        <v>115.21063859908071</v>
      </c>
      <c r="F30" s="5">
        <f>IF(AND(H29&lt;&gt;0,G30=0),IF(H29+C30&lt;0,-1,IF(H29&lt;0,-1,1))*ABS(C30)+G30,IF(H29+C30&lt;0,-1,1)*ABS(C30)+G30)</f>
        <v>6.8935462979520254</v>
      </c>
      <c r="G30" s="6">
        <f>IF(AND(H29*C30&lt;0,ABS(C30)-ABS(H29)&gt;0),H29,0)</f>
        <v>0</v>
      </c>
      <c r="H30" s="5">
        <f>C30+H29</f>
        <v>115.21063859908071</v>
      </c>
      <c r="K30" s="19"/>
      <c r="L30" s="15"/>
      <c r="N30" s="8"/>
    </row>
    <row r="31" spans="1:20" x14ac:dyDescent="0.3">
      <c r="A31" s="62" t="s">
        <v>9</v>
      </c>
      <c r="B31" s="61">
        <v>-0.03</v>
      </c>
      <c r="C31" s="42">
        <f>C27*B31</f>
        <v>-2.8645454456128676</v>
      </c>
      <c r="E31" s="5">
        <f>IF(G31&lt;&gt;0,0,IF(H30*C31&gt;=0,H30,H30+C31))</f>
        <v>112.34609315346785</v>
      </c>
      <c r="F31" s="5">
        <f>IF(AND(H30&lt;&gt;0,G31=0),IF(H30+C31&lt;0,-1,IF(H30&lt;0,-1,1))*ABS(C31)+G31,IF(H30+C31&lt;0,-1,1)*ABS(C31)+G31)</f>
        <v>2.8645454456128676</v>
      </c>
      <c r="G31" s="6">
        <f>IF(AND(H30*C31&lt;0,ABS(C31)-ABS(H30)&gt;0),H30,0)</f>
        <v>0</v>
      </c>
      <c r="H31" s="5">
        <f>C31+H30</f>
        <v>112.34609315346785</v>
      </c>
      <c r="I31" s="8"/>
      <c r="K31" s="19"/>
      <c r="L31" s="15"/>
      <c r="N31" s="8"/>
    </row>
    <row r="32" spans="1:20" x14ac:dyDescent="0.3">
      <c r="A32" s="62" t="s">
        <v>10</v>
      </c>
      <c r="B32" s="61">
        <v>-0.01</v>
      </c>
      <c r="C32" s="42">
        <f>C27*B32</f>
        <v>-0.95484848187095595</v>
      </c>
      <c r="E32" s="5">
        <f>IF(G32&lt;&gt;0,0,IF(H31*C32&gt;=0,H31,H31+C32))</f>
        <v>111.39124467159689</v>
      </c>
      <c r="F32" s="5">
        <f>IF(AND(H31&lt;&gt;0,G32=0),IF(H31+C32&lt;0,-1,IF(H31&lt;0,-1,1))*ABS(C32)+G32,IF(H31+C32&lt;0,-1,1)*ABS(C32)+G32)</f>
        <v>0.95484848187095595</v>
      </c>
      <c r="G32" s="6">
        <f>IF(AND(H31*C32&lt;0,ABS(C32)-ABS(H31)&gt;0),H31,0)</f>
        <v>0</v>
      </c>
      <c r="H32" s="5">
        <f>C32+H31</f>
        <v>111.39124467159689</v>
      </c>
      <c r="I32" s="8"/>
      <c r="K32" s="19"/>
      <c r="L32" s="15"/>
      <c r="N32" s="8"/>
    </row>
    <row r="33" spans="1:12" x14ac:dyDescent="0.3">
      <c r="A33" s="50" t="s">
        <v>28</v>
      </c>
      <c r="B33" s="50"/>
      <c r="C33" s="51">
        <f>SUM(C27:C32)</f>
        <v>111.39124467159689</v>
      </c>
      <c r="E33" s="12">
        <f>C33-M8</f>
        <v>100.88862958207469</v>
      </c>
      <c r="F33" s="12">
        <f>M8</f>
        <v>10.502615089522216</v>
      </c>
      <c r="G33" s="48">
        <f>IF(AND(H30*C33&lt;0,ABS(C33)-ABS(H30)&gt;0),H30,0)</f>
        <v>0</v>
      </c>
      <c r="H33" s="12">
        <f>C33</f>
        <v>111.39124467159689</v>
      </c>
      <c r="I33" s="8"/>
      <c r="K33" s="19"/>
      <c r="L33" s="15"/>
    </row>
    <row r="34" spans="1:12" x14ac:dyDescent="0.3">
      <c r="A34" s="8"/>
      <c r="G34" s="8"/>
      <c r="H34" s="8"/>
      <c r="K34" s="19"/>
      <c r="L34" s="15"/>
    </row>
  </sheetData>
  <mergeCells count="3">
    <mergeCell ref="O2:Q2"/>
    <mergeCell ref="S3:T3"/>
    <mergeCell ref="S2:T2"/>
  </mergeCells>
  <phoneticPr fontId="8" type="noConversion"/>
  <hyperlinks>
    <hyperlink ref="J10" r:id="rId1" xr:uid="{00000000-0004-0000-0100-000000000000}"/>
    <hyperlink ref="S10" r:id="rId2" xr:uid="{7DBE3927-50C0-4003-A652-52193B14C6F4}"/>
  </hyperlinks>
  <pageMargins left="0.25" right="0.25" top="0.25" bottom="0.25" header="0.3" footer="0.3"/>
  <pageSetup scale="4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Data</vt:lpstr>
      <vt:lpstr>Chart!Print_Area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McGinn</dc:creator>
  <cp:lastModifiedBy>Matt McGinn</cp:lastModifiedBy>
  <cp:lastPrinted>2020-10-19T22:46:35Z</cp:lastPrinted>
  <dcterms:created xsi:type="dcterms:W3CDTF">2010-12-08T19:18:32Z</dcterms:created>
  <dcterms:modified xsi:type="dcterms:W3CDTF">2020-10-20T01:14:12Z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,	;	,	{	}	[@[{0}]]	1033</vt:lpwstr>
  </property>
</Properties>
</file>